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activeTab="0"/>
  </bookViews>
  <sheets>
    <sheet name="Resultat U16 og U14" sheetId="1" r:id="rId1"/>
    <sheet name="Formler og tabel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<sst xmlns="http://schemas.openxmlformats.org/spreadsheetml/2006/main" count="216" uniqueCount="65">
  <si>
    <t>Score</t>
  </si>
  <si>
    <t>Resultat</t>
  </si>
  <si>
    <t>3000 meter</t>
  </si>
  <si>
    <t>Hangups</t>
  </si>
  <si>
    <t>Chins</t>
  </si>
  <si>
    <t>Kassehopp</t>
  </si>
  <si>
    <t>Dips</t>
  </si>
  <si>
    <t>Stille lengde</t>
  </si>
  <si>
    <t>Hexagonal</t>
  </si>
  <si>
    <t>Brutal benk</t>
  </si>
  <si>
    <t xml:space="preserve">Hexagon </t>
  </si>
  <si>
    <t>Hexagon</t>
  </si>
  <si>
    <t>GUTTER:</t>
  </si>
  <si>
    <t>Benevnelse</t>
  </si>
  <si>
    <t>Totalscore</t>
  </si>
  <si>
    <t>Øvelse</t>
  </si>
  <si>
    <t>Sek,tid,hund</t>
  </si>
  <si>
    <t>Ant.</t>
  </si>
  <si>
    <t>Cm.</t>
  </si>
  <si>
    <t>Min.</t>
  </si>
  <si>
    <t>Sek.</t>
  </si>
  <si>
    <t>Kjønn</t>
  </si>
  <si>
    <t>Gutt</t>
  </si>
  <si>
    <t>Jente</t>
  </si>
  <si>
    <t>Scoretabell</t>
  </si>
  <si>
    <t>Fra 6-35</t>
  </si>
  <si>
    <t>Fra 2-30</t>
  </si>
  <si>
    <t>Fra 50-125</t>
  </si>
  <si>
    <t>Fra 14:30-09:30</t>
  </si>
  <si>
    <t>Fra 15:55-10:30</t>
  </si>
  <si>
    <t>Fra 1-30</t>
  </si>
  <si>
    <t>Fra 44-120</t>
  </si>
  <si>
    <t>Fra 1-35</t>
  </si>
  <si>
    <t>Fra 135-255</t>
  </si>
  <si>
    <t>Fra 150-275</t>
  </si>
  <si>
    <t>Fra 21,60-17,68</t>
  </si>
  <si>
    <t>Fra 22,35-18,00</t>
  </si>
  <si>
    <t>JENTER:</t>
  </si>
  <si>
    <t>Eksempel Gutt</t>
  </si>
  <si>
    <t>Eksempel Jente</t>
  </si>
  <si>
    <t>Antall fullført</t>
  </si>
  <si>
    <t>Snitt per øv.</t>
  </si>
  <si>
    <t>Poeng</t>
  </si>
  <si>
    <t>P/delt. øv</t>
  </si>
  <si>
    <t>Fra 3-35</t>
  </si>
  <si>
    <t>Push Ups</t>
  </si>
  <si>
    <t>Sander</t>
  </si>
  <si>
    <t>Theodor</t>
  </si>
  <si>
    <t>Sander Oksvik</t>
  </si>
  <si>
    <t>Henriette S</t>
  </si>
  <si>
    <t>Ada</t>
  </si>
  <si>
    <t>Vilde</t>
  </si>
  <si>
    <t>Eili</t>
  </si>
  <si>
    <t>Nathalie</t>
  </si>
  <si>
    <t>Henriette KL</t>
  </si>
  <si>
    <t>Eline</t>
  </si>
  <si>
    <t>Alexandra</t>
  </si>
  <si>
    <t>Line</t>
  </si>
  <si>
    <t>Fillipo</t>
  </si>
  <si>
    <t>Gutter U14</t>
  </si>
  <si>
    <t>Jenter U16:</t>
  </si>
  <si>
    <t>Gutter U16:</t>
  </si>
  <si>
    <t>Jenter U14:</t>
  </si>
  <si>
    <t>Gutter U12</t>
  </si>
  <si>
    <t>Lukas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</si>
</sst>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;\-&quot;kr&quot;\ #,##0"/>
    <numFmt numFmtId="171" formatCode="&quot;kr&quot;\ #,##0;[Red]\-&quot;kr&quot;\ #,##0"/>
    <numFmt numFmtId="172" formatCode="&quot;kr&quot;\ #,##0.00;\-&quot;kr&quot;\ #,##0.00"/>
    <numFmt numFmtId="173" formatCode="&quot;kr&quot;\ #,##0.00;[Red]\-&quot;kr&quot;\ #,##0.00"/>
    <numFmt numFmtId="174" formatCode="_-&quot;kr&quot;\ * #,##0_-;\-&quot;kr&quot;\ * #,##0_-;_-&quot;kr&quot;\ * &quot;-&quot;_-;_-@_-"/>
    <numFmt numFmtId="175" formatCode="_-* #,##0_-;\-* #,##0_-;_-* &quot;-&quot;_-;_-@_-"/>
    <numFmt numFmtId="176" formatCode="_-&quot;kr&quot;\ * #,##0.00_-;\-&quot;kr&quot;\ * #,##0.00_-;_-&quot;kr&quot;\ * &quot;-&quot;??_-;_-@_-"/>
    <numFmt numFmtId="177" formatCode="_-* #,##0.00_-;\-* #,##0.00_-;_-* &quot;-&quot;??_-;_-@_-"/>
    <numFmt numFmtId="178" formatCode="#,##0&quot;NOK&quot;;\-#,##0&quot;NOK&quot;"/>
    <numFmt numFmtId="179" formatCode="#,##0&quot;NOK&quot;;[Red]\-#,##0&quot;NOK&quot;"/>
    <numFmt numFmtId="180" formatCode="#,##0.00&quot;NOK&quot;;\-#,##0.00&quot;NOK&quot;"/>
    <numFmt numFmtId="181" formatCode="#,##0.00&quot;NOK&quot;;[Red]\-#,##0.00&quot;NOK&quot;"/>
    <numFmt numFmtId="182" formatCode="_-* #,##0&quot;NOK&quot;_-;\-* #,##0&quot;NOK&quot;_-;_-* &quot;-&quot;&quot;NOK&quot;_-;_-@_-"/>
    <numFmt numFmtId="183" formatCode="_-* #,##0_N_O_K_-;\-* #,##0_N_O_K_-;_-* &quot;-&quot;_N_O_K_-;_-@_-"/>
    <numFmt numFmtId="184" formatCode="_-* #,##0.00&quot;NOK&quot;_-;\-* #,##0.00&quot;NOK&quot;_-;_-* &quot;-&quot;??&quot;NOK&quot;_-;_-@_-"/>
    <numFmt numFmtId="185" formatCode="_-* #,##0.00_N_O_K_-;\-* #,##0.00_N_O_K_-;_-* &quot;-&quot;??_N_O_K_-;_-@_-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[$-414]d\.\ mmmm\ yyyy"/>
    <numFmt numFmtId="195" formatCode="dd/mm/yy;@"/>
    <numFmt numFmtId="196" formatCode="0.0\ %"/>
    <numFmt numFmtId="197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33" fillId="19" borderId="2" applyNumberFormat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7" borderId="3" applyNumberFormat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40" fillId="19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5" fillId="29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93" fontId="4" fillId="0" borderId="0" xfId="46" applyFon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43" fillId="0" borderId="16" xfId="51" applyFont="1" applyFill="1" applyBorder="1">
      <alignment/>
      <protection/>
    </xf>
    <xf numFmtId="0" fontId="43" fillId="0" borderId="10" xfId="51" applyFont="1" applyBorder="1">
      <alignment/>
      <protection/>
    </xf>
    <xf numFmtId="0" fontId="43" fillId="0" borderId="14" xfId="51" applyFont="1" applyFill="1" applyBorder="1">
      <alignment/>
      <protection/>
    </xf>
    <xf numFmtId="0" fontId="43" fillId="0" borderId="17" xfId="51" applyFont="1" applyBorder="1">
      <alignment/>
      <protection/>
    </xf>
    <xf numFmtId="0" fontId="43" fillId="0" borderId="18" xfId="51" applyFont="1" applyFill="1" applyBorder="1">
      <alignment/>
      <protection/>
    </xf>
    <xf numFmtId="0" fontId="43" fillId="30" borderId="16" xfId="51" applyFont="1" applyFill="1" applyBorder="1">
      <alignment/>
      <protection/>
    </xf>
    <xf numFmtId="0" fontId="43" fillId="30" borderId="18" xfId="51" applyFont="1" applyFill="1" applyBorder="1">
      <alignment/>
      <protection/>
    </xf>
    <xf numFmtId="0" fontId="43" fillId="0" borderId="16" xfId="51" applyFont="1" applyBorder="1">
      <alignment/>
      <protection/>
    </xf>
    <xf numFmtId="0" fontId="43" fillId="0" borderId="18" xfId="51" applyFont="1" applyBorder="1">
      <alignment/>
      <protection/>
    </xf>
    <xf numFmtId="0" fontId="43" fillId="30" borderId="19" xfId="51" applyFont="1" applyFill="1" applyBorder="1">
      <alignment/>
      <protection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5" fillId="31" borderId="22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5" fillId="32" borderId="11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0" fontId="4" fillId="32" borderId="26" xfId="0" applyFont="1" applyFill="1" applyBorder="1" applyAlignment="1">
      <alignment/>
    </xf>
    <xf numFmtId="0" fontId="4" fillId="32" borderId="17" xfId="0" applyFont="1" applyFill="1" applyBorder="1" applyAlignment="1">
      <alignment horizontal="center"/>
    </xf>
    <xf numFmtId="1" fontId="4" fillId="32" borderId="27" xfId="0" applyNumberFormat="1" applyFont="1" applyFill="1" applyBorder="1" applyAlignment="1">
      <alignment horizontal="center"/>
    </xf>
    <xf numFmtId="0" fontId="43" fillId="0" borderId="20" xfId="51" applyFont="1" applyBorder="1">
      <alignment/>
      <protection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44" fillId="31" borderId="22" xfId="51" applyFont="1" applyFill="1" applyBorder="1">
      <alignment/>
      <protection/>
    </xf>
    <xf numFmtId="0" fontId="43" fillId="0" borderId="23" xfId="51" applyFont="1" applyBorder="1">
      <alignment/>
      <protection/>
    </xf>
    <xf numFmtId="0" fontId="43" fillId="0" borderId="24" xfId="51" applyFont="1" applyBorder="1">
      <alignment/>
      <protection/>
    </xf>
    <xf numFmtId="0" fontId="4" fillId="0" borderId="24" xfId="0" applyNumberFormat="1" applyFont="1" applyBorder="1" applyAlignment="1">
      <alignment/>
    </xf>
    <xf numFmtId="1" fontId="5" fillId="0" borderId="24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NumberFormat="1" applyFont="1" applyBorder="1" applyAlignment="1">
      <alignment/>
    </xf>
    <xf numFmtId="1" fontId="29" fillId="0" borderId="10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0" xfId="0" applyNumberFormat="1" applyFont="1" applyBorder="1" applyAlignment="1">
      <alignment/>
    </xf>
    <xf numFmtId="1" fontId="29" fillId="0" borderId="20" xfId="0" applyNumberFormat="1" applyFont="1" applyBorder="1" applyAlignment="1">
      <alignment horizontal="center"/>
    </xf>
    <xf numFmtId="1" fontId="28" fillId="0" borderId="21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7" xfId="0" applyNumberFormat="1" applyFont="1" applyBorder="1" applyAlignment="1">
      <alignment/>
    </xf>
    <xf numFmtId="1" fontId="29" fillId="0" borderId="17" xfId="0" applyNumberFormat="1" applyFont="1" applyBorder="1" applyAlignment="1">
      <alignment horizontal="center"/>
    </xf>
    <xf numFmtId="1" fontId="28" fillId="0" borderId="27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3" fillId="0" borderId="0" xfId="51" applyFont="1" applyFill="1" applyBorder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4" fillId="0" borderId="0" xfId="51" applyFont="1" applyFill="1" applyBorder="1">
      <alignment/>
      <protection/>
    </xf>
    <xf numFmtId="0" fontId="4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9"/>
  <sheetViews>
    <sheetView tabSelected="1" zoomScale="90" zoomScaleNormal="90" zoomScalePageLayoutView="0" workbookViewId="0" topLeftCell="A3">
      <selection activeCell="T40" sqref="T40"/>
    </sheetView>
  </sheetViews>
  <sheetFormatPr defaultColWidth="9.140625" defaultRowHeight="12.75"/>
  <cols>
    <col min="1" max="1" width="16.28125" style="28" customWidth="1"/>
    <col min="2" max="3" width="5.7109375" style="29" customWidth="1"/>
    <col min="4" max="10" width="10.7109375" style="29" customWidth="1"/>
    <col min="11" max="11" width="8.7109375" style="29" customWidth="1"/>
    <col min="12" max="12" width="14.8515625" style="41" hidden="1" customWidth="1"/>
    <col min="13" max="13" width="15.8515625" style="41" hidden="1" customWidth="1"/>
    <col min="14" max="14" width="21.28125" style="41" hidden="1" customWidth="1"/>
    <col min="15" max="15" width="17.7109375" style="41" hidden="1" customWidth="1"/>
    <col min="16" max="17" width="14.7109375" style="41" hidden="1" customWidth="1"/>
    <col min="18" max="18" width="14.140625" style="41" hidden="1" customWidth="1"/>
    <col min="19" max="19" width="21.8515625" style="41" hidden="1" customWidth="1"/>
    <col min="20" max="16384" width="9.140625" style="28" customWidth="1"/>
  </cols>
  <sheetData>
    <row r="1" ht="10.5" thickBot="1"/>
    <row r="2" spans="1:19" s="30" customFormat="1" ht="9.75">
      <c r="A2" s="50" t="s">
        <v>15</v>
      </c>
      <c r="B2" s="105" t="s">
        <v>2</v>
      </c>
      <c r="C2" s="106"/>
      <c r="D2" s="51" t="s">
        <v>10</v>
      </c>
      <c r="E2" s="51" t="s">
        <v>7</v>
      </c>
      <c r="F2" s="51" t="s">
        <v>9</v>
      </c>
      <c r="G2" s="51" t="s">
        <v>4</v>
      </c>
      <c r="H2" s="51" t="s">
        <v>45</v>
      </c>
      <c r="I2" s="51" t="s">
        <v>5</v>
      </c>
      <c r="J2" s="51" t="s">
        <v>14</v>
      </c>
      <c r="K2" s="52" t="s">
        <v>41</v>
      </c>
      <c r="L2" s="38" t="s">
        <v>2</v>
      </c>
      <c r="M2" s="38" t="s">
        <v>11</v>
      </c>
      <c r="N2" s="38" t="s">
        <v>7</v>
      </c>
      <c r="O2" s="38" t="s">
        <v>9</v>
      </c>
      <c r="P2" s="38" t="s">
        <v>4</v>
      </c>
      <c r="Q2" s="38" t="s">
        <v>6</v>
      </c>
      <c r="R2" s="38" t="s">
        <v>5</v>
      </c>
      <c r="S2" s="38" t="s">
        <v>40</v>
      </c>
    </row>
    <row r="3" spans="1:19" s="30" customFormat="1" ht="11.25" customHeight="1">
      <c r="A3" s="53" t="s">
        <v>13</v>
      </c>
      <c r="B3" s="49" t="s">
        <v>19</v>
      </c>
      <c r="C3" s="49" t="s">
        <v>20</v>
      </c>
      <c r="D3" s="49" t="s">
        <v>16</v>
      </c>
      <c r="E3" s="49" t="s">
        <v>18</v>
      </c>
      <c r="F3" s="49" t="s">
        <v>17</v>
      </c>
      <c r="G3" s="49" t="s">
        <v>17</v>
      </c>
      <c r="H3" s="49" t="s">
        <v>17</v>
      </c>
      <c r="I3" s="49" t="s">
        <v>17</v>
      </c>
      <c r="J3" s="48"/>
      <c r="K3" s="54"/>
      <c r="L3" s="38"/>
      <c r="M3" s="38"/>
      <c r="N3" s="38"/>
      <c r="O3" s="38"/>
      <c r="P3" s="38"/>
      <c r="Q3" s="38"/>
      <c r="R3" s="38"/>
      <c r="S3" s="38"/>
    </row>
    <row r="4" spans="1:19" s="30" customFormat="1" ht="6" customHeight="1">
      <c r="A4" s="53"/>
      <c r="B4" s="49"/>
      <c r="C4" s="49"/>
      <c r="D4" s="49"/>
      <c r="E4" s="49"/>
      <c r="F4" s="49"/>
      <c r="G4" s="49"/>
      <c r="H4" s="49"/>
      <c r="I4" s="49"/>
      <c r="J4" s="48"/>
      <c r="K4" s="54"/>
      <c r="L4" s="38"/>
      <c r="M4" s="38"/>
      <c r="N4" s="38"/>
      <c r="O4" s="38"/>
      <c r="P4" s="38"/>
      <c r="Q4" s="38"/>
      <c r="R4" s="38"/>
      <c r="S4" s="38"/>
    </row>
    <row r="5" spans="1:25" s="34" customFormat="1" ht="11.25" customHeight="1">
      <c r="A5" s="56" t="s">
        <v>38</v>
      </c>
      <c r="B5" s="45">
        <v>11</v>
      </c>
      <c r="C5" s="45">
        <v>14</v>
      </c>
      <c r="D5" s="45">
        <v>20</v>
      </c>
      <c r="E5" s="45">
        <v>200</v>
      </c>
      <c r="F5" s="45">
        <v>2</v>
      </c>
      <c r="G5" s="45">
        <v>3</v>
      </c>
      <c r="H5" s="45">
        <v>5</v>
      </c>
      <c r="I5" s="45">
        <v>66</v>
      </c>
      <c r="J5" s="46">
        <f>SUMIF(L5:R5,"&gt;0")</f>
        <v>298.7900000000001</v>
      </c>
      <c r="K5" s="55">
        <f>J5/S5</f>
        <v>42.68428571428573</v>
      </c>
      <c r="L5" s="39">
        <f>IF(B5&gt;0,(-0.48*(B5*60+C5)+417.6),0)</f>
        <v>94.08000000000004</v>
      </c>
      <c r="M5" s="39">
        <f>IF(D5&gt;0,((-51.19*D5)+1106),0)</f>
        <v>82.20000000000005</v>
      </c>
      <c r="N5" s="39">
        <f>IF(E5&gt;0,((0.95*E5)-142.5),0)</f>
        <v>47.5</v>
      </c>
      <c r="O5" s="39">
        <f>IF(F5&gt;0,((4*F5)-20),0)</f>
        <v>-12</v>
      </c>
      <c r="P5" s="39">
        <f>IF(G5&gt;0,((5.88*G5)-5.88),0)</f>
        <v>11.760000000000002</v>
      </c>
      <c r="Q5" s="39">
        <f>IF(H5&gt;0,((3.85*H5)-7.7),0)</f>
        <v>11.55</v>
      </c>
      <c r="R5" s="39">
        <f>IF(I5&gt;0,((2.95*I5)-143),0)</f>
        <v>51.70000000000002</v>
      </c>
      <c r="S5" s="39">
        <f>COUNT(L5:R5)</f>
        <v>7</v>
      </c>
      <c r="T5" s="32"/>
      <c r="U5" s="32"/>
      <c r="V5" s="32"/>
      <c r="W5" s="32"/>
      <c r="X5" s="32"/>
      <c r="Y5" s="32"/>
    </row>
    <row r="6" spans="1:25" s="34" customFormat="1" ht="11.25" customHeight="1">
      <c r="A6" s="56" t="s">
        <v>39</v>
      </c>
      <c r="B6" s="47">
        <v>12</v>
      </c>
      <c r="C6" s="47">
        <v>45</v>
      </c>
      <c r="D6" s="47">
        <v>22.13</v>
      </c>
      <c r="E6" s="47">
        <v>210</v>
      </c>
      <c r="F6" s="47">
        <v>15</v>
      </c>
      <c r="G6" s="47">
        <v>10</v>
      </c>
      <c r="H6" s="47">
        <v>21</v>
      </c>
      <c r="I6" s="47">
        <v>89</v>
      </c>
      <c r="J6" s="46">
        <f>SUMIF(L6:R6,"&gt;0")</f>
        <v>547.7850000000001</v>
      </c>
      <c r="K6" s="55">
        <f>J6/S6</f>
        <v>78.25500000000001</v>
      </c>
      <c r="L6" s="39">
        <f>IF(B6&gt;0,(-0.436*(B6*60+C6)+417.6),0)</f>
        <v>84.06</v>
      </c>
      <c r="M6" s="39">
        <f>IF(D6&gt;0,((-49.5*D6)+1106),0)</f>
        <v>10.565000000000055</v>
      </c>
      <c r="N6" s="39">
        <f>IF(E6&gt;0,((1.05*E6)-142.5),0)</f>
        <v>78</v>
      </c>
      <c r="O6" s="39">
        <f>IF(F6&gt;0,((4*F6)-20),0)</f>
        <v>40</v>
      </c>
      <c r="P6" s="39">
        <f>IF(G6&gt;0,(7.94*G6),0)</f>
        <v>79.4</v>
      </c>
      <c r="Q6" s="39">
        <f>IF(H6&gt;0,(5.13*H6),0)</f>
        <v>107.73</v>
      </c>
      <c r="R6" s="39">
        <f>IF(I6&gt;0,((3.27*I6)-143),0)</f>
        <v>148.03000000000003</v>
      </c>
      <c r="S6" s="39">
        <f>COUNT(L6:R6)</f>
        <v>7</v>
      </c>
      <c r="T6" s="32"/>
      <c r="U6" s="32"/>
      <c r="V6" s="32"/>
      <c r="W6" s="32"/>
      <c r="X6" s="32"/>
      <c r="Y6" s="32"/>
    </row>
    <row r="7" spans="1:19" s="33" customFormat="1" ht="6" customHeight="1" thickBot="1">
      <c r="A7" s="67"/>
      <c r="B7" s="68"/>
      <c r="C7" s="68"/>
      <c r="D7" s="68"/>
      <c r="E7" s="68"/>
      <c r="F7" s="68"/>
      <c r="G7" s="68"/>
      <c r="H7" s="68"/>
      <c r="I7" s="68"/>
      <c r="J7" s="68"/>
      <c r="K7" s="69"/>
      <c r="L7" s="40"/>
      <c r="M7" s="40"/>
      <c r="N7" s="40"/>
      <c r="O7" s="40"/>
      <c r="P7" s="40"/>
      <c r="Q7" s="40"/>
      <c r="R7" s="40"/>
      <c r="S7" s="39">
        <f>COUNT(L7:R7)</f>
        <v>0</v>
      </c>
    </row>
    <row r="8" spans="1:19" s="33" customFormat="1" ht="11.25" customHeight="1">
      <c r="A8" s="74" t="s">
        <v>12</v>
      </c>
      <c r="B8" s="107" t="s">
        <v>2</v>
      </c>
      <c r="C8" s="108"/>
      <c r="D8" s="75" t="s">
        <v>11</v>
      </c>
      <c r="E8" s="75" t="s">
        <v>7</v>
      </c>
      <c r="F8" s="75" t="s">
        <v>9</v>
      </c>
      <c r="G8" s="75" t="s">
        <v>4</v>
      </c>
      <c r="H8" s="75" t="s">
        <v>45</v>
      </c>
      <c r="I8" s="75" t="s">
        <v>5</v>
      </c>
      <c r="J8" s="75" t="s">
        <v>14</v>
      </c>
      <c r="K8" s="76" t="s">
        <v>41</v>
      </c>
      <c r="L8" s="40"/>
      <c r="M8" s="40"/>
      <c r="N8" s="40"/>
      <c r="O8" s="40"/>
      <c r="P8" s="40"/>
      <c r="Q8" s="40"/>
      <c r="R8" s="40"/>
      <c r="S8" s="39"/>
    </row>
    <row r="9" spans="1:19" ht="11.25" customHeight="1" thickBot="1">
      <c r="A9" s="77" t="s">
        <v>15</v>
      </c>
      <c r="B9" s="78" t="s">
        <v>19</v>
      </c>
      <c r="C9" s="78" t="s">
        <v>20</v>
      </c>
      <c r="D9" s="78" t="s">
        <v>16</v>
      </c>
      <c r="E9" s="78" t="s">
        <v>18</v>
      </c>
      <c r="F9" s="78" t="s">
        <v>17</v>
      </c>
      <c r="G9" s="78" t="s">
        <v>17</v>
      </c>
      <c r="H9" s="78" t="s">
        <v>17</v>
      </c>
      <c r="I9" s="78" t="s">
        <v>17</v>
      </c>
      <c r="J9" s="78" t="s">
        <v>42</v>
      </c>
      <c r="K9" s="79" t="s">
        <v>43</v>
      </c>
      <c r="S9" s="39">
        <f>COUNT(L9:R9)</f>
        <v>0</v>
      </c>
    </row>
    <row r="10" spans="1:19" ht="11.25" customHeight="1" thickBot="1">
      <c r="A10" s="70" t="s">
        <v>61</v>
      </c>
      <c r="B10" s="71"/>
      <c r="C10" s="72"/>
      <c r="D10" s="72"/>
      <c r="E10" s="72"/>
      <c r="F10" s="72"/>
      <c r="G10" s="72"/>
      <c r="H10" s="72"/>
      <c r="I10" s="72"/>
      <c r="J10" s="72"/>
      <c r="K10" s="73"/>
      <c r="S10" s="39"/>
    </row>
    <row r="11" spans="1:25" ht="9.75">
      <c r="A11" s="57" t="s">
        <v>46</v>
      </c>
      <c r="B11" s="58">
        <v>11</v>
      </c>
      <c r="C11" s="58">
        <v>45</v>
      </c>
      <c r="D11" s="90">
        <v>20.28</v>
      </c>
      <c r="E11" s="90">
        <v>226</v>
      </c>
      <c r="F11" s="91">
        <v>13</v>
      </c>
      <c r="G11" s="91">
        <v>7</v>
      </c>
      <c r="H11" s="91">
        <v>24</v>
      </c>
      <c r="I11" s="91">
        <v>86</v>
      </c>
      <c r="J11" s="92">
        <f>SUMIF(L11:R11,"&gt;0")</f>
        <v>450.7468</v>
      </c>
      <c r="K11" s="93">
        <f>J11/S11</f>
        <v>64.3924</v>
      </c>
      <c r="L11" s="39">
        <f>IF(B11&gt;0,(-0.48*(B11*60+C11)+417.6),0)</f>
        <v>79.20000000000005</v>
      </c>
      <c r="M11" s="39">
        <f>IF(D11&gt;0,((-51.19*D11)+1106),0)</f>
        <v>67.86680000000001</v>
      </c>
      <c r="N11" s="39">
        <f>IF(E11&gt;0,((0.95*E11)-142.5),0)</f>
        <v>72.19999999999999</v>
      </c>
      <c r="O11" s="39">
        <f>IF(F11&gt;0,((4*F11)-20),0)</f>
        <v>32</v>
      </c>
      <c r="P11" s="39">
        <f>IF(G11&gt;0,((5.88*G11)-5.88),0)</f>
        <v>35.279999999999994</v>
      </c>
      <c r="Q11" s="39">
        <f>IF(H11&gt;0,((2.55*H11)-7.7),0)</f>
        <v>53.49999999999999</v>
      </c>
      <c r="R11" s="39">
        <f>IF(I11&gt;0,((2.95*I11)-143),0)</f>
        <v>110.70000000000002</v>
      </c>
      <c r="S11" s="39">
        <f>COUNT(L11:R11)</f>
        <v>7</v>
      </c>
      <c r="T11" s="32"/>
      <c r="U11" s="42"/>
      <c r="V11" s="32"/>
      <c r="W11" s="32"/>
      <c r="X11" s="32"/>
      <c r="Y11" s="32"/>
    </row>
    <row r="12" spans="1:20" ht="10.5" thickBot="1">
      <c r="A12" s="61" t="s">
        <v>47</v>
      </c>
      <c r="B12" s="80">
        <v>11</v>
      </c>
      <c r="C12" s="80">
        <v>45</v>
      </c>
      <c r="D12" s="94">
        <v>19.69</v>
      </c>
      <c r="E12" s="94">
        <v>241</v>
      </c>
      <c r="F12" s="95">
        <v>19</v>
      </c>
      <c r="G12" s="95">
        <v>9</v>
      </c>
      <c r="H12" s="95">
        <v>60</v>
      </c>
      <c r="I12" s="95">
        <v>87</v>
      </c>
      <c r="J12" s="96">
        <f>SUMIF(L12:R12,"&gt;0")</f>
        <v>625.7089000000001</v>
      </c>
      <c r="K12" s="97">
        <f>J12/S12</f>
        <v>89.38698571428573</v>
      </c>
      <c r="L12" s="39">
        <f>IF(B12&gt;0,(-0.48*(B12*60+C12)+417.6),0)</f>
        <v>79.20000000000005</v>
      </c>
      <c r="M12" s="39">
        <f>IF(D12&gt;0,((-51.19*D12)+1106),0)</f>
        <v>98.06889999999999</v>
      </c>
      <c r="N12" s="39">
        <f>IF(E12&gt;0,((0.95*E12)-142.5),0)</f>
        <v>86.44999999999999</v>
      </c>
      <c r="O12" s="39">
        <f>IF(F12&gt;0,((4*F12)-20),0)</f>
        <v>56</v>
      </c>
      <c r="P12" s="39">
        <f>IF(G12&gt;0,((5.88*G12)-5.88),0)</f>
        <v>47.04</v>
      </c>
      <c r="Q12" s="39">
        <f>IF(H12&gt;0,((2.55*H12)-7.7),0)</f>
        <v>145.3</v>
      </c>
      <c r="R12" s="39">
        <f>IF(I12&gt;0,((2.95*I12)-143),0)</f>
        <v>113.65000000000003</v>
      </c>
      <c r="S12" s="39">
        <f>COUNT(L12:R12)</f>
        <v>7</v>
      </c>
      <c r="T12" s="32"/>
    </row>
    <row r="13" spans="1:19" ht="9.75">
      <c r="A13" s="74" t="s">
        <v>37</v>
      </c>
      <c r="B13" s="107" t="s">
        <v>2</v>
      </c>
      <c r="C13" s="108"/>
      <c r="D13" s="75" t="s">
        <v>11</v>
      </c>
      <c r="E13" s="75" t="s">
        <v>7</v>
      </c>
      <c r="F13" s="75" t="s">
        <v>9</v>
      </c>
      <c r="G13" s="75" t="s">
        <v>4</v>
      </c>
      <c r="H13" s="75" t="s">
        <v>45</v>
      </c>
      <c r="I13" s="75" t="s">
        <v>5</v>
      </c>
      <c r="J13" s="75" t="s">
        <v>14</v>
      </c>
      <c r="K13" s="76" t="s">
        <v>41</v>
      </c>
      <c r="L13" s="39"/>
      <c r="M13" s="39" t="e">
        <f>IF(#REF!&gt;0,((-51.19*#REF!)+1106),0)</f>
        <v>#REF!</v>
      </c>
      <c r="N13" s="39" t="e">
        <f>IF(#REF!&gt;0,((0.95*#REF!)-142.5),0)</f>
        <v>#REF!</v>
      </c>
      <c r="O13" s="39" t="e">
        <f>IF(#REF!&gt;0,((4*#REF!)-20),0)</f>
        <v>#REF!</v>
      </c>
      <c r="P13" s="39" t="e">
        <f>IF(#REF!&gt;0,((5.88*#REF!)-5.88),0)</f>
        <v>#REF!</v>
      </c>
      <c r="Q13" s="39" t="e">
        <f>IF(#REF!&gt;0,((2.55*#REF!)-7.7),0)</f>
        <v>#REF!</v>
      </c>
      <c r="R13" s="39" t="e">
        <f>IF(#REF!&gt;0,((2.95*#REF!)-143),0)</f>
        <v>#REF!</v>
      </c>
      <c r="S13" s="39"/>
    </row>
    <row r="14" spans="1:19" ht="10.5" thickBot="1">
      <c r="A14" s="77" t="s">
        <v>15</v>
      </c>
      <c r="B14" s="78" t="s">
        <v>19</v>
      </c>
      <c r="C14" s="78" t="s">
        <v>20</v>
      </c>
      <c r="D14" s="78" t="s">
        <v>16</v>
      </c>
      <c r="E14" s="78" t="s">
        <v>18</v>
      </c>
      <c r="F14" s="78" t="s">
        <v>17</v>
      </c>
      <c r="G14" s="78" t="s">
        <v>17</v>
      </c>
      <c r="H14" s="78" t="s">
        <v>17</v>
      </c>
      <c r="I14" s="78" t="s">
        <v>17</v>
      </c>
      <c r="J14" s="78" t="s">
        <v>42</v>
      </c>
      <c r="K14" s="79" t="s">
        <v>43</v>
      </c>
      <c r="L14" s="39" t="e">
        <f>IF(#REF!&gt;0,(-0.48*(#REF!*60+#REF!)+417.6),0)</f>
        <v>#REF!</v>
      </c>
      <c r="M14" s="39" t="e">
        <f>IF(#REF!&gt;0,((-51.19*#REF!)+1106),0)</f>
        <v>#REF!</v>
      </c>
      <c r="N14" s="39" t="e">
        <f>IF(#REF!&gt;0,((0.95*#REF!)-142.5),0)</f>
        <v>#REF!</v>
      </c>
      <c r="O14" s="39" t="e">
        <f>IF(#REF!&gt;0,((4*#REF!)-20),0)</f>
        <v>#REF!</v>
      </c>
      <c r="P14" s="39" t="e">
        <f>IF(#REF!&gt;0,((5.88*#REF!)-5.88),0)</f>
        <v>#REF!</v>
      </c>
      <c r="Q14" s="39" t="e">
        <f>IF(#REF!&gt;0,((2.55*#REF!)-7.7),0)</f>
        <v>#REF!</v>
      </c>
      <c r="R14" s="39" t="e">
        <f>IF(#REF!&gt;0,((2.95*#REF!)-143),0)</f>
        <v>#REF!</v>
      </c>
      <c r="S14" s="39">
        <f aca="true" t="shared" si="0" ref="S14:S32">COUNT(L14:R14)</f>
        <v>0</v>
      </c>
    </row>
    <row r="15" spans="1:19" s="43" customFormat="1" ht="10.5" thickBot="1">
      <c r="A15" s="70" t="s">
        <v>60</v>
      </c>
      <c r="B15" s="81"/>
      <c r="C15" s="82"/>
      <c r="D15" s="82"/>
      <c r="E15" s="82"/>
      <c r="F15" s="82"/>
      <c r="G15" s="82"/>
      <c r="H15" s="82"/>
      <c r="I15" s="82"/>
      <c r="J15" s="82"/>
      <c r="K15" s="83"/>
      <c r="L15" s="44"/>
      <c r="M15" s="44"/>
      <c r="N15" s="44"/>
      <c r="O15" s="44"/>
      <c r="P15" s="44"/>
      <c r="Q15" s="44"/>
      <c r="R15" s="44"/>
      <c r="S15" s="44"/>
    </row>
    <row r="16" spans="1:19" ht="9.75">
      <c r="A16" s="57" t="s">
        <v>54</v>
      </c>
      <c r="B16" s="58">
        <v>12</v>
      </c>
      <c r="C16" s="58">
        <v>58</v>
      </c>
      <c r="D16" s="90">
        <v>20.97</v>
      </c>
      <c r="E16" s="90">
        <v>220</v>
      </c>
      <c r="F16" s="91">
        <v>16</v>
      </c>
      <c r="G16" s="91">
        <v>7</v>
      </c>
      <c r="H16" s="91">
        <v>23</v>
      </c>
      <c r="I16" s="91">
        <v>82</v>
      </c>
      <c r="J16" s="92">
        <f aca="true" t="shared" si="1" ref="J16:J32">SUMIF(L16:R16,"&gt;0")</f>
        <v>531.5870000000001</v>
      </c>
      <c r="K16" s="93">
        <f aca="true" t="shared" si="2" ref="K16:K32">J16/S16</f>
        <v>75.94100000000002</v>
      </c>
      <c r="L16" s="39">
        <f aca="true" t="shared" si="3" ref="L16:L21">IF(B16&gt;0,(-0.436*(B16*60+C16)+417.6),0)</f>
        <v>78.392</v>
      </c>
      <c r="M16" s="39">
        <f aca="true" t="shared" si="4" ref="M16:M21">IF(D16&gt;0,((-49.5*D16)+1106),0)</f>
        <v>67.98500000000013</v>
      </c>
      <c r="N16" s="39">
        <f aca="true" t="shared" si="5" ref="N16:N21">IF(E16&gt;0,((1.05*E16)-142.5),0)</f>
        <v>88.5</v>
      </c>
      <c r="O16" s="39">
        <f aca="true" t="shared" si="6" ref="O16:O21">IF(F16&gt;0,((4*F16)-20),0)</f>
        <v>44</v>
      </c>
      <c r="P16" s="39">
        <f aca="true" t="shared" si="7" ref="P16:P21">IF(G16&gt;0,(7.94*G16),0)</f>
        <v>55.580000000000005</v>
      </c>
      <c r="Q16" s="39">
        <f aca="true" t="shared" si="8" ref="Q16:Q21">IF(H16&gt;0,(3.13*H16),0)</f>
        <v>71.99</v>
      </c>
      <c r="R16" s="39">
        <f aca="true" t="shared" si="9" ref="R16:R21">IF(I16&gt;0,((3.27*I16)-143),0)</f>
        <v>125.13999999999999</v>
      </c>
      <c r="S16" s="39">
        <f t="shared" si="0"/>
        <v>7</v>
      </c>
    </row>
    <row r="17" spans="1:19" ht="9.75">
      <c r="A17" s="59" t="s">
        <v>50</v>
      </c>
      <c r="B17" s="58">
        <v>13</v>
      </c>
      <c r="C17" s="58">
        <v>45</v>
      </c>
      <c r="D17" s="90">
        <v>22.56</v>
      </c>
      <c r="E17" s="90">
        <v>206</v>
      </c>
      <c r="F17" s="91">
        <v>8</v>
      </c>
      <c r="G17" s="91">
        <v>5</v>
      </c>
      <c r="H17" s="91">
        <v>42</v>
      </c>
      <c r="I17" s="91">
        <v>76</v>
      </c>
      <c r="J17" s="92">
        <f>SUMIF(L17:R17,"&gt;0")</f>
        <v>420.38</v>
      </c>
      <c r="K17" s="93">
        <f>J17/S17</f>
        <v>60.05428571428571</v>
      </c>
      <c r="L17" s="39">
        <f>IF(B17&gt;0,(-0.436*(B17*60+C17)+417.6),0)</f>
        <v>57.900000000000034</v>
      </c>
      <c r="M17" s="39">
        <f>IF(D17&gt;0,((-49.5*D17)+1106),0)</f>
        <v>-10.720000000000027</v>
      </c>
      <c r="N17" s="39">
        <f>IF(E17&gt;0,((1.05*E17)-142.5),0)</f>
        <v>73.80000000000001</v>
      </c>
      <c r="O17" s="39">
        <f>IF(F17&gt;0,((4*F17)-20),0)</f>
        <v>12</v>
      </c>
      <c r="P17" s="39">
        <f>IF(G17&gt;0,(7.94*G17),0)</f>
        <v>39.7</v>
      </c>
      <c r="Q17" s="39">
        <f>IF(H17&gt;0,(3.13*H17),0)</f>
        <v>131.46</v>
      </c>
      <c r="R17" s="39">
        <f>IF(I17&gt;0,((3.27*I17)-143),0)</f>
        <v>105.52000000000001</v>
      </c>
      <c r="S17" s="39">
        <f>COUNT(L17:R17)</f>
        <v>7</v>
      </c>
    </row>
    <row r="18" spans="1:19" ht="9.75">
      <c r="A18" s="59" t="s">
        <v>55</v>
      </c>
      <c r="B18" s="58">
        <v>14</v>
      </c>
      <c r="C18" s="58">
        <v>8</v>
      </c>
      <c r="D18" s="90">
        <v>26.81</v>
      </c>
      <c r="E18" s="90">
        <v>191</v>
      </c>
      <c r="F18" s="91">
        <v>4</v>
      </c>
      <c r="G18" s="91">
        <v>0</v>
      </c>
      <c r="H18" s="91">
        <v>10</v>
      </c>
      <c r="I18" s="91">
        <v>60</v>
      </c>
      <c r="J18" s="92">
        <f>SUMIF(L18:R18,"&gt;0")</f>
        <v>190.42200000000003</v>
      </c>
      <c r="K18" s="93">
        <f>J18/S18</f>
        <v>27.20314285714286</v>
      </c>
      <c r="L18" s="39">
        <f>IF(B18&gt;0,(-0.436*(B18*60+C18)+417.6),0)</f>
        <v>47.872000000000014</v>
      </c>
      <c r="M18" s="39">
        <f>IF(D18&gt;0,((-49.5*D18)+1106),0)</f>
        <v>-221.09500000000003</v>
      </c>
      <c r="N18" s="39">
        <f>IF(E18&gt;0,((1.05*E18)-142.5),0)</f>
        <v>58.05000000000001</v>
      </c>
      <c r="O18" s="39">
        <f>IF(F18&gt;0,((4*F18)-20),0)</f>
        <v>-4</v>
      </c>
      <c r="P18" s="39">
        <f>IF(G18&gt;0,(7.94*G18),0)</f>
        <v>0</v>
      </c>
      <c r="Q18" s="39">
        <f>IF(H18&gt;0,(3.13*H18),0)</f>
        <v>31.299999999999997</v>
      </c>
      <c r="R18" s="39">
        <f>IF(I18&gt;0,((3.27*I18)-143),0)</f>
        <v>53.19999999999999</v>
      </c>
      <c r="S18" s="39">
        <f>COUNT(L18:R18)</f>
        <v>7</v>
      </c>
    </row>
    <row r="19" spans="1:19" ht="9.75">
      <c r="A19" s="59" t="s">
        <v>49</v>
      </c>
      <c r="B19" s="58">
        <v>15</v>
      </c>
      <c r="C19" s="58">
        <v>8</v>
      </c>
      <c r="D19" s="90">
        <v>22.25</v>
      </c>
      <c r="E19" s="90">
        <v>211</v>
      </c>
      <c r="F19" s="91">
        <v>7</v>
      </c>
      <c r="G19" s="91">
        <v>1</v>
      </c>
      <c r="H19" s="91">
        <v>10</v>
      </c>
      <c r="I19" s="91">
        <v>67</v>
      </c>
      <c r="J19" s="92">
        <f>SUMIF(L19:R19,"&gt;0")</f>
        <v>228.71700000000007</v>
      </c>
      <c r="K19" s="93">
        <f>J19/S19</f>
        <v>32.67385714285715</v>
      </c>
      <c r="L19" s="39">
        <f>IF(B19&gt;0,(-0.436*(B19*60+C19)+417.6),0)</f>
        <v>21.712000000000046</v>
      </c>
      <c r="M19" s="39">
        <f>IF(D19&gt;0,((-49.5*D19)+1106),0)</f>
        <v>4.625</v>
      </c>
      <c r="N19" s="39">
        <f>IF(E19&gt;0,((1.05*E19)-142.5),0)</f>
        <v>79.05000000000001</v>
      </c>
      <c r="O19" s="39">
        <f>IF(F19&gt;0,((4*F19)-20),0)</f>
        <v>8</v>
      </c>
      <c r="P19" s="39">
        <f>IF(G19&gt;0,(7.94*G19),0)</f>
        <v>7.94</v>
      </c>
      <c r="Q19" s="39">
        <f>IF(H19&gt;0,(3.13*H19),0)</f>
        <v>31.299999999999997</v>
      </c>
      <c r="R19" s="39">
        <f>IF(I19&gt;0,((3.27*I19)-143),0)</f>
        <v>76.09</v>
      </c>
      <c r="S19" s="39">
        <f>COUNT(L19:R19)</f>
        <v>7</v>
      </c>
    </row>
    <row r="20" spans="1:19" ht="9.75">
      <c r="A20" s="57" t="s">
        <v>56</v>
      </c>
      <c r="B20" s="58">
        <v>15</v>
      </c>
      <c r="C20" s="58">
        <v>22</v>
      </c>
      <c r="D20" s="90">
        <v>22.97</v>
      </c>
      <c r="E20" s="90">
        <v>197</v>
      </c>
      <c r="F20" s="91">
        <v>9</v>
      </c>
      <c r="G20" s="91">
        <v>1</v>
      </c>
      <c r="H20" s="91">
        <v>5</v>
      </c>
      <c r="I20" s="91">
        <v>46</v>
      </c>
      <c r="J20" s="92">
        <f>SUMIF(L20:R20,"&gt;0")</f>
        <v>126.96800000000002</v>
      </c>
      <c r="K20" s="93">
        <f>J20/S20</f>
        <v>18.13828571428572</v>
      </c>
      <c r="L20" s="39">
        <f>IF(B20&gt;0,(-0.436*(B20*60+C20)+417.6),0)</f>
        <v>15.608000000000004</v>
      </c>
      <c r="M20" s="39">
        <f>IF(D20&gt;0,((-49.5*D20)+1106),0)</f>
        <v>-31.014999999999873</v>
      </c>
      <c r="N20" s="39">
        <f>IF(E20&gt;0,((1.05*E20)-142.5),0)</f>
        <v>64.35000000000002</v>
      </c>
      <c r="O20" s="39">
        <f>IF(F20&gt;0,((4*F20)-20),0)</f>
        <v>16</v>
      </c>
      <c r="P20" s="39">
        <f>IF(G20&gt;0,(7.94*G20),0)</f>
        <v>7.94</v>
      </c>
      <c r="Q20" s="39">
        <f>IF(H20&gt;0,(3.13*H20),0)</f>
        <v>15.649999999999999</v>
      </c>
      <c r="R20" s="39">
        <f>IF(I20&gt;0,((3.27*I20)-143),0)</f>
        <v>7.4199999999999875</v>
      </c>
      <c r="S20" s="39">
        <f>COUNT(L20:R20)</f>
        <v>7</v>
      </c>
    </row>
    <row r="21" spans="1:19" ht="10.5" thickBot="1">
      <c r="A21" s="61" t="s">
        <v>57</v>
      </c>
      <c r="B21" s="80">
        <v>16</v>
      </c>
      <c r="C21" s="80">
        <v>52</v>
      </c>
      <c r="D21" s="94">
        <v>37.69</v>
      </c>
      <c r="E21" s="94">
        <v>180</v>
      </c>
      <c r="F21" s="95">
        <v>2</v>
      </c>
      <c r="G21" s="95">
        <v>0</v>
      </c>
      <c r="H21" s="95">
        <v>1</v>
      </c>
      <c r="I21" s="95">
        <v>25</v>
      </c>
      <c r="J21" s="92">
        <f>SUMIF(L21:R21,"&gt;0")</f>
        <v>49.63</v>
      </c>
      <c r="K21" s="93">
        <f>J21/S21</f>
        <v>7.090000000000001</v>
      </c>
      <c r="L21" s="39">
        <f>IF(B21&gt;0,(-0.436*(B21*60+C21)+417.6),0)</f>
        <v>-23.631999999999948</v>
      </c>
      <c r="M21" s="39">
        <f>IF(D21&gt;0,((-49.5*D21)+1106),0)</f>
        <v>-759.655</v>
      </c>
      <c r="N21" s="39">
        <f>IF(E21&gt;0,((1.05*E21)-142.5),0)</f>
        <v>46.5</v>
      </c>
      <c r="O21" s="39">
        <f>IF(F21&gt;0,((4*F21)-20),0)</f>
        <v>-12</v>
      </c>
      <c r="P21" s="39">
        <f>IF(G21&gt;0,(7.94*G21),0)</f>
        <v>0</v>
      </c>
      <c r="Q21" s="39">
        <f>IF(H21&gt;0,(3.13*H21),0)</f>
        <v>3.13</v>
      </c>
      <c r="R21" s="39">
        <f>IF(I21&gt;0,((3.27*I21)-143),0)</f>
        <v>-61.25</v>
      </c>
      <c r="S21" s="39">
        <f>COUNT(L21:R21)</f>
        <v>7</v>
      </c>
    </row>
    <row r="22" spans="1:19" ht="9.75">
      <c r="A22" s="74" t="s">
        <v>12</v>
      </c>
      <c r="B22" s="107" t="s">
        <v>2</v>
      </c>
      <c r="C22" s="108"/>
      <c r="D22" s="75" t="s">
        <v>11</v>
      </c>
      <c r="E22" s="75" t="s">
        <v>7</v>
      </c>
      <c r="F22" s="75" t="s">
        <v>9</v>
      </c>
      <c r="G22" s="75" t="s">
        <v>4</v>
      </c>
      <c r="H22" s="75" t="s">
        <v>45</v>
      </c>
      <c r="I22" s="75" t="s">
        <v>5</v>
      </c>
      <c r="J22" s="75" t="s">
        <v>14</v>
      </c>
      <c r="K22" s="76" t="s">
        <v>41</v>
      </c>
      <c r="L22" s="39"/>
      <c r="M22" s="39"/>
      <c r="N22" s="39"/>
      <c r="O22" s="39"/>
      <c r="P22" s="39"/>
      <c r="Q22" s="39"/>
      <c r="R22" s="39"/>
      <c r="S22" s="39"/>
    </row>
    <row r="23" spans="1:19" ht="10.5" thickBot="1">
      <c r="A23" s="77" t="s">
        <v>15</v>
      </c>
      <c r="B23" s="78" t="s">
        <v>19</v>
      </c>
      <c r="C23" s="78" t="s">
        <v>20</v>
      </c>
      <c r="D23" s="78" t="s">
        <v>16</v>
      </c>
      <c r="E23" s="78" t="s">
        <v>18</v>
      </c>
      <c r="F23" s="78" t="s">
        <v>17</v>
      </c>
      <c r="G23" s="78" t="s">
        <v>17</v>
      </c>
      <c r="H23" s="78" t="s">
        <v>17</v>
      </c>
      <c r="I23" s="78" t="s">
        <v>17</v>
      </c>
      <c r="J23" s="78" t="s">
        <v>42</v>
      </c>
      <c r="K23" s="79" t="s">
        <v>43</v>
      </c>
      <c r="L23" s="39"/>
      <c r="M23" s="39"/>
      <c r="N23" s="39"/>
      <c r="O23" s="39"/>
      <c r="P23" s="39"/>
      <c r="Q23" s="39"/>
      <c r="R23" s="39"/>
      <c r="S23" s="39"/>
    </row>
    <row r="24" spans="1:19" ht="9.75" customHeight="1" thickBot="1">
      <c r="A24" s="84" t="s">
        <v>59</v>
      </c>
      <c r="B24" s="85"/>
      <c r="C24" s="86"/>
      <c r="D24" s="72"/>
      <c r="E24" s="72"/>
      <c r="F24" s="87"/>
      <c r="G24" s="87"/>
      <c r="H24" s="87"/>
      <c r="I24" s="87"/>
      <c r="J24" s="88"/>
      <c r="K24" s="73"/>
      <c r="L24" s="39"/>
      <c r="M24" s="39"/>
      <c r="N24" s="39"/>
      <c r="O24" s="39"/>
      <c r="P24" s="39"/>
      <c r="Q24" s="39"/>
      <c r="R24" s="39"/>
      <c r="S24" s="39"/>
    </row>
    <row r="25" spans="1:19" ht="9.75">
      <c r="A25" s="62" t="s">
        <v>48</v>
      </c>
      <c r="B25" s="58">
        <v>13</v>
      </c>
      <c r="C25" s="58">
        <v>49</v>
      </c>
      <c r="D25" s="98">
        <v>24.06</v>
      </c>
      <c r="E25" s="90">
        <v>191</v>
      </c>
      <c r="F25" s="91">
        <v>9</v>
      </c>
      <c r="G25" s="91">
        <v>3</v>
      </c>
      <c r="H25" s="91">
        <v>13</v>
      </c>
      <c r="I25" s="91">
        <v>54</v>
      </c>
      <c r="J25" s="92">
        <f>SUMIF(L25:R25,"&gt;0")</f>
        <v>128.14000000000007</v>
      </c>
      <c r="K25" s="93">
        <f>J25/S25</f>
        <v>18.305714285714295</v>
      </c>
      <c r="L25" s="39">
        <f>IF(B25&gt;0,(-0.48*(B25*60+C25)+417.6),0)</f>
        <v>19.680000000000064</v>
      </c>
      <c r="M25" s="39">
        <f>IF(D25&gt;0,((-51.19*D25)+1106),0)</f>
        <v>-125.63139999999999</v>
      </c>
      <c r="N25" s="39">
        <f>IF(E25&gt;0,((0.95*E25)-142.5),0)</f>
        <v>38.94999999999999</v>
      </c>
      <c r="O25" s="39">
        <f>IF(F25&gt;0,((4*F25)-20),0)</f>
        <v>16</v>
      </c>
      <c r="P25" s="39">
        <f>IF(G25&gt;0,((5.88*G25)-5.88),0)</f>
        <v>11.760000000000002</v>
      </c>
      <c r="Q25" s="39">
        <f>IF(H25&gt;0,((2.55*H25)-7.7),0)</f>
        <v>25.45</v>
      </c>
      <c r="R25" s="39">
        <f>IF(I25&gt;0,((2.95*I25)-143),0)</f>
        <v>16.30000000000001</v>
      </c>
      <c r="S25" s="39">
        <f>COUNT(L25:R25)</f>
        <v>7</v>
      </c>
    </row>
    <row r="26" spans="1:19" ht="10.5" thickBot="1">
      <c r="A26" s="63" t="s">
        <v>58</v>
      </c>
      <c r="B26" s="80">
        <v>14</v>
      </c>
      <c r="C26" s="80">
        <v>57</v>
      </c>
      <c r="D26" s="99">
        <v>24.12</v>
      </c>
      <c r="E26" s="94">
        <v>173</v>
      </c>
      <c r="F26" s="95">
        <v>4</v>
      </c>
      <c r="G26" s="95">
        <v>0</v>
      </c>
      <c r="H26" s="95">
        <v>15</v>
      </c>
      <c r="I26" s="95">
        <v>53</v>
      </c>
      <c r="J26" s="96">
        <f>SUMIF(L26:R26,"&gt;0")</f>
        <v>65.75000000000001</v>
      </c>
      <c r="K26" s="97">
        <f>J26/S26</f>
        <v>9.392857142857144</v>
      </c>
      <c r="L26" s="39">
        <f>IF(B26&gt;0,(-0.48*(B26*60+C26)+417.6),0)</f>
        <v>-12.95999999999998</v>
      </c>
      <c r="M26" s="39">
        <f>IF(D26&gt;0,((-51.19*D26)+1106),0)</f>
        <v>-128.70280000000002</v>
      </c>
      <c r="N26" s="39">
        <f>IF(E26&gt;0,((0.95*E26)-142.5),0)</f>
        <v>21.849999999999994</v>
      </c>
      <c r="O26" s="39">
        <f>IF(F26&gt;0,((4*F26)-20),0)</f>
        <v>-4</v>
      </c>
      <c r="P26" s="39">
        <f>IF(G26&gt;0,((5.88*G26)-5.88),0)</f>
        <v>0</v>
      </c>
      <c r="Q26" s="39">
        <f>IF(H26&gt;0,((2.55*H26)-7.7),0)</f>
        <v>30.55</v>
      </c>
      <c r="R26" s="39">
        <f>IF(I26&gt;0,((2.95*I26)-143),0)</f>
        <v>13.350000000000023</v>
      </c>
      <c r="S26" s="39">
        <f>COUNT(L26:R26)</f>
        <v>7</v>
      </c>
    </row>
    <row r="27" spans="1:19" ht="9.75">
      <c r="A27" s="74" t="s">
        <v>37</v>
      </c>
      <c r="B27" s="107" t="s">
        <v>2</v>
      </c>
      <c r="C27" s="108"/>
      <c r="D27" s="75" t="s">
        <v>11</v>
      </c>
      <c r="E27" s="75" t="s">
        <v>7</v>
      </c>
      <c r="F27" s="75" t="s">
        <v>9</v>
      </c>
      <c r="G27" s="75" t="s">
        <v>4</v>
      </c>
      <c r="H27" s="75" t="s">
        <v>45</v>
      </c>
      <c r="I27" s="75" t="s">
        <v>5</v>
      </c>
      <c r="J27" s="75" t="s">
        <v>14</v>
      </c>
      <c r="K27" s="76" t="s">
        <v>41</v>
      </c>
      <c r="L27" s="39"/>
      <c r="M27" s="39"/>
      <c r="N27" s="39"/>
      <c r="O27" s="39"/>
      <c r="P27" s="39"/>
      <c r="Q27" s="39"/>
      <c r="R27" s="39"/>
      <c r="S27" s="39"/>
    </row>
    <row r="28" spans="1:19" ht="10.5" thickBot="1">
      <c r="A28" s="77" t="s">
        <v>15</v>
      </c>
      <c r="B28" s="78" t="s">
        <v>19</v>
      </c>
      <c r="C28" s="78" t="s">
        <v>20</v>
      </c>
      <c r="D28" s="78" t="s">
        <v>16</v>
      </c>
      <c r="E28" s="78" t="s">
        <v>18</v>
      </c>
      <c r="F28" s="78" t="s">
        <v>17</v>
      </c>
      <c r="G28" s="78" t="s">
        <v>17</v>
      </c>
      <c r="H28" s="78" t="s">
        <v>17</v>
      </c>
      <c r="I28" s="78" t="s">
        <v>17</v>
      </c>
      <c r="J28" s="78" t="s">
        <v>42</v>
      </c>
      <c r="K28" s="79" t="s">
        <v>43</v>
      </c>
      <c r="L28" s="39"/>
      <c r="M28" s="39"/>
      <c r="N28" s="39"/>
      <c r="O28" s="39"/>
      <c r="P28" s="39"/>
      <c r="Q28" s="39"/>
      <c r="R28" s="39"/>
      <c r="S28" s="39"/>
    </row>
    <row r="29" spans="1:19" ht="10.5" thickBot="1">
      <c r="A29" s="84" t="s">
        <v>62</v>
      </c>
      <c r="B29" s="85"/>
      <c r="C29" s="86"/>
      <c r="D29" s="89"/>
      <c r="E29" s="72"/>
      <c r="F29" s="87"/>
      <c r="G29" s="87"/>
      <c r="H29" s="87"/>
      <c r="I29" s="87"/>
      <c r="J29" s="88"/>
      <c r="K29" s="73"/>
      <c r="L29" s="39"/>
      <c r="M29" s="39"/>
      <c r="N29" s="39"/>
      <c r="O29" s="39"/>
      <c r="P29" s="39"/>
      <c r="Q29" s="39"/>
      <c r="R29" s="39"/>
      <c r="S29" s="39"/>
    </row>
    <row r="30" spans="1:19" ht="9.75">
      <c r="A30" s="64" t="s">
        <v>51</v>
      </c>
      <c r="B30" s="58">
        <v>13</v>
      </c>
      <c r="C30" s="58">
        <v>48</v>
      </c>
      <c r="D30" s="90">
        <v>21.87</v>
      </c>
      <c r="E30" s="90">
        <v>201</v>
      </c>
      <c r="F30" s="91">
        <v>15</v>
      </c>
      <c r="G30" s="91">
        <v>1</v>
      </c>
      <c r="H30" s="91">
        <v>10</v>
      </c>
      <c r="I30" s="91">
        <v>51</v>
      </c>
      <c r="J30" s="92">
        <f>SUMIF(L30:R30,"&gt;0")</f>
        <v>251.58700000000002</v>
      </c>
      <c r="K30" s="93">
        <f>J30/S30</f>
        <v>35.941</v>
      </c>
      <c r="L30" s="39">
        <f>IF(B30&gt;0,(-0.436*(B30*60+C30)+417.6),0)</f>
        <v>56.59200000000004</v>
      </c>
      <c r="M30" s="39">
        <f>IF(D30&gt;0,((-49.5*D30)+1106),0)</f>
        <v>23.434999999999945</v>
      </c>
      <c r="N30" s="39">
        <f>IF(E30&gt;0,((1.05*E30)-142.5),0)</f>
        <v>68.55000000000001</v>
      </c>
      <c r="O30" s="39">
        <f>IF(F30&gt;0,((4*F30)-20),0)</f>
        <v>40</v>
      </c>
      <c r="P30" s="39">
        <f>IF(G30&gt;0,(7.94*G30),0)</f>
        <v>7.94</v>
      </c>
      <c r="Q30" s="39">
        <f>IF(H30&gt;0,(3.13*H30),0)</f>
        <v>31.299999999999997</v>
      </c>
      <c r="R30" s="39">
        <f>IF(I30&gt;0,((3.27*I30)-143),0)</f>
        <v>23.77000000000001</v>
      </c>
      <c r="S30" s="39">
        <f>COUNT(L30:R30)</f>
        <v>7</v>
      </c>
    </row>
    <row r="31" spans="1:19" ht="9.75">
      <c r="A31" s="64" t="s">
        <v>52</v>
      </c>
      <c r="B31" s="58">
        <v>15</v>
      </c>
      <c r="C31" s="58">
        <v>37</v>
      </c>
      <c r="D31" s="90">
        <v>27.81</v>
      </c>
      <c r="E31" s="90">
        <v>176</v>
      </c>
      <c r="F31" s="91">
        <v>7</v>
      </c>
      <c r="G31" s="91">
        <v>0</v>
      </c>
      <c r="H31" s="91">
        <v>7</v>
      </c>
      <c r="I31" s="91">
        <v>54</v>
      </c>
      <c r="J31" s="92">
        <f t="shared" si="1"/>
        <v>114.85800000000006</v>
      </c>
      <c r="K31" s="93">
        <f t="shared" si="2"/>
        <v>16.40828571428572</v>
      </c>
      <c r="L31" s="39">
        <f>IF(B31&gt;0,(-0.436*(B31*60+C31)+417.6),0)</f>
        <v>9.06800000000004</v>
      </c>
      <c r="M31" s="39">
        <f>IF(D31&gt;0,((-49.5*D31)+1106),0)</f>
        <v>-270.595</v>
      </c>
      <c r="N31" s="39">
        <f>IF(E31&gt;0,((1.05*E31)-142.5),0)</f>
        <v>42.30000000000001</v>
      </c>
      <c r="O31" s="39">
        <f>IF(F31&gt;0,((4*F31)-20),0)</f>
        <v>8</v>
      </c>
      <c r="P31" s="39">
        <f>IF(G31&gt;0,(7.94*G31),0)</f>
        <v>0</v>
      </c>
      <c r="Q31" s="39">
        <f>IF(H31&gt;0,(3.13*H31),0)</f>
        <v>21.91</v>
      </c>
      <c r="R31" s="39">
        <f>IF(I31&gt;0,((3.27*I31)-143),0)</f>
        <v>33.58000000000001</v>
      </c>
      <c r="S31" s="39">
        <f t="shared" si="0"/>
        <v>7</v>
      </c>
    </row>
    <row r="32" spans="1:19" ht="10.5" thickBot="1">
      <c r="A32" s="65" t="s">
        <v>53</v>
      </c>
      <c r="B32" s="80">
        <v>16</v>
      </c>
      <c r="C32" s="80">
        <v>36</v>
      </c>
      <c r="D32" s="94">
        <v>26.77</v>
      </c>
      <c r="E32" s="94">
        <v>175</v>
      </c>
      <c r="F32" s="95">
        <v>14</v>
      </c>
      <c r="G32" s="95">
        <v>1</v>
      </c>
      <c r="H32" s="95">
        <v>4</v>
      </c>
      <c r="I32" s="95">
        <v>45</v>
      </c>
      <c r="J32" s="96">
        <f t="shared" si="1"/>
        <v>101.86</v>
      </c>
      <c r="K32" s="97">
        <f t="shared" si="2"/>
        <v>14.551428571428572</v>
      </c>
      <c r="L32" s="39">
        <f>IF(B32&gt;0,(-0.436*(B32*60+C32)+417.6),0)</f>
        <v>-16.65599999999995</v>
      </c>
      <c r="M32" s="39">
        <f>IF(D32&gt;0,((-49.5*D32)+1106),0)</f>
        <v>-219.115</v>
      </c>
      <c r="N32" s="39">
        <f>IF(E32&gt;0,((1.05*E32)-142.5),0)</f>
        <v>41.25</v>
      </c>
      <c r="O32" s="39">
        <f>IF(F32&gt;0,((4*F32)-20),0)</f>
        <v>36</v>
      </c>
      <c r="P32" s="39">
        <f>IF(G32&gt;0,(7.94*G32),0)</f>
        <v>7.94</v>
      </c>
      <c r="Q32" s="39">
        <f>IF(H32&gt;0,(3.13*H32),0)</f>
        <v>12.52</v>
      </c>
      <c r="R32" s="39">
        <f>IF(I32&gt;0,((3.27*I32)-143),0)</f>
        <v>4.150000000000006</v>
      </c>
      <c r="S32" s="39">
        <f t="shared" si="0"/>
        <v>7</v>
      </c>
    </row>
    <row r="33" spans="1:19" ht="9.75">
      <c r="A33" s="74" t="s">
        <v>12</v>
      </c>
      <c r="B33" s="107" t="s">
        <v>2</v>
      </c>
      <c r="C33" s="108"/>
      <c r="D33" s="75" t="s">
        <v>11</v>
      </c>
      <c r="E33" s="75" t="s">
        <v>7</v>
      </c>
      <c r="F33" s="75" t="s">
        <v>9</v>
      </c>
      <c r="G33" s="75" t="s">
        <v>4</v>
      </c>
      <c r="H33" s="75" t="s">
        <v>45</v>
      </c>
      <c r="I33" s="75" t="s">
        <v>5</v>
      </c>
      <c r="J33" s="75" t="s">
        <v>14</v>
      </c>
      <c r="K33" s="76" t="s">
        <v>41</v>
      </c>
      <c r="L33" s="39"/>
      <c r="M33" s="39"/>
      <c r="N33" s="39"/>
      <c r="O33" s="39"/>
      <c r="P33" s="39"/>
      <c r="Q33" s="39"/>
      <c r="R33" s="39"/>
      <c r="S33" s="39"/>
    </row>
    <row r="34" spans="1:19" ht="10.5" thickBot="1">
      <c r="A34" s="77" t="s">
        <v>15</v>
      </c>
      <c r="B34" s="78" t="s">
        <v>19</v>
      </c>
      <c r="C34" s="78" t="s">
        <v>20</v>
      </c>
      <c r="D34" s="78" t="s">
        <v>16</v>
      </c>
      <c r="E34" s="78" t="s">
        <v>18</v>
      </c>
      <c r="F34" s="78" t="s">
        <v>17</v>
      </c>
      <c r="G34" s="78" t="s">
        <v>17</v>
      </c>
      <c r="H34" s="78" t="s">
        <v>17</v>
      </c>
      <c r="I34" s="78" t="s">
        <v>17</v>
      </c>
      <c r="J34" s="78" t="s">
        <v>42</v>
      </c>
      <c r="K34" s="79" t="s">
        <v>43</v>
      </c>
      <c r="L34" s="39"/>
      <c r="M34" s="39"/>
      <c r="N34" s="39"/>
      <c r="O34" s="39"/>
      <c r="P34" s="39"/>
      <c r="Q34" s="39"/>
      <c r="R34" s="39"/>
      <c r="S34" s="39"/>
    </row>
    <row r="35" spans="1:19" ht="10.5" thickBot="1">
      <c r="A35" s="84" t="s">
        <v>63</v>
      </c>
      <c r="B35" s="85"/>
      <c r="C35" s="86"/>
      <c r="D35" s="72"/>
      <c r="E35" s="72"/>
      <c r="F35" s="87"/>
      <c r="G35" s="87"/>
      <c r="H35" s="87"/>
      <c r="I35" s="87"/>
      <c r="J35" s="88"/>
      <c r="K35" s="73"/>
      <c r="L35" s="39"/>
      <c r="M35" s="39"/>
      <c r="N35" s="39"/>
      <c r="O35" s="39"/>
      <c r="P35" s="39"/>
      <c r="Q35" s="39"/>
      <c r="R35" s="39"/>
      <c r="S35" s="39"/>
    </row>
    <row r="36" spans="1:19" ht="10.5" thickBot="1">
      <c r="A36" s="66" t="s">
        <v>64</v>
      </c>
      <c r="B36" s="60">
        <v>13</v>
      </c>
      <c r="C36" s="60">
        <v>49</v>
      </c>
      <c r="D36" s="100">
        <v>23.82</v>
      </c>
      <c r="E36" s="101">
        <v>197</v>
      </c>
      <c r="F36" s="102">
        <v>5</v>
      </c>
      <c r="G36" s="102">
        <v>1</v>
      </c>
      <c r="H36" s="102">
        <v>19</v>
      </c>
      <c r="I36" s="102">
        <v>0</v>
      </c>
      <c r="J36" s="103">
        <f>SUMIF(L36:R36,"&gt;0")</f>
        <v>105.08000000000004</v>
      </c>
      <c r="K36" s="104">
        <f>J36/S36</f>
        <v>15.011428571428578</v>
      </c>
      <c r="L36" s="39">
        <f>IF(B36&gt;0,(-0.48*(B36*60+C36)+417.6),0)</f>
        <v>19.680000000000064</v>
      </c>
      <c r="M36" s="39">
        <f>IF(D36&gt;0,((-51.19*D36)+1106),0)</f>
        <v>-113.34580000000005</v>
      </c>
      <c r="N36" s="39">
        <f>IF(E36&gt;0,((0.95*E36)-142.5),0)</f>
        <v>44.64999999999998</v>
      </c>
      <c r="O36" s="39">
        <f>IF(F36&gt;0,((4*F36)-20),0)</f>
        <v>0</v>
      </c>
      <c r="P36" s="39">
        <f>IF(G36&gt;0,((5.88*G36)-5.88),0)</f>
        <v>0</v>
      </c>
      <c r="Q36" s="39">
        <f>IF(H36&gt;0,((2.55*H36)-7.7),0)</f>
        <v>40.74999999999999</v>
      </c>
      <c r="R36" s="39">
        <f>IF(I36&gt;0,((2.95*I36)-143),0)</f>
        <v>0</v>
      </c>
      <c r="S36" s="39">
        <f aca="true" t="shared" si="10" ref="S36:S52">COUNT(L36:R36)</f>
        <v>7</v>
      </c>
    </row>
    <row r="37" spans="10:19" ht="9.75">
      <c r="J37" s="31"/>
      <c r="K37" s="35"/>
      <c r="L37" s="39">
        <f>IF(B32&gt;0,(-0.436*(B32*60+C32)+417.6),0)</f>
        <v>-16.65599999999995</v>
      </c>
      <c r="M37" s="39">
        <f>IF(D32&gt;0,((-49.5*D32)+1106),0)</f>
        <v>-219.115</v>
      </c>
      <c r="N37" s="39">
        <f>IF(E32&gt;0,((1.05*E32)-142.5),0)</f>
        <v>41.25</v>
      </c>
      <c r="O37" s="39">
        <f>IF(F32&gt;0,((4*F32)-20),0)</f>
        <v>36</v>
      </c>
      <c r="P37" s="39">
        <f>IF(G32&gt;0,(7.94*G32),0)</f>
        <v>7.94</v>
      </c>
      <c r="Q37" s="39">
        <f>IF(H32&gt;0,(3.13*H32),0)</f>
        <v>12.52</v>
      </c>
      <c r="R37" s="39">
        <f>IF(I32&gt;0,((3.27*I32)-143),0)</f>
        <v>4.150000000000006</v>
      </c>
      <c r="S37" s="39">
        <f t="shared" si="10"/>
        <v>7</v>
      </c>
    </row>
    <row r="38" spans="10:19" ht="9.75">
      <c r="J38" s="31"/>
      <c r="K38" s="35"/>
      <c r="L38" s="39">
        <f aca="true" t="shared" si="11" ref="L38:L44">IF(B35&gt;0,(-0.436*(B35*60+C35)+417.6),0)</f>
        <v>0</v>
      </c>
      <c r="M38" s="39">
        <f aca="true" t="shared" si="12" ref="M38:M44">IF(D35&gt;0,((-49.5*D35)+1106),0)</f>
        <v>0</v>
      </c>
      <c r="N38" s="39">
        <f aca="true" t="shared" si="13" ref="N38:N44">IF(E35&gt;0,((1.05*E35)-142.5),0)</f>
        <v>0</v>
      </c>
      <c r="O38" s="39">
        <f aca="true" t="shared" si="14" ref="O38:O44">IF(F35&gt;0,((4*F35)-20),0)</f>
        <v>0</v>
      </c>
      <c r="P38" s="39">
        <f aca="true" t="shared" si="15" ref="P38:P44">IF(G35&gt;0,(7.94*G35),0)</f>
        <v>0</v>
      </c>
      <c r="Q38" s="39">
        <f aca="true" t="shared" si="16" ref="Q38:Q44">IF(H35&gt;0,(3.13*H35),0)</f>
        <v>0</v>
      </c>
      <c r="R38" s="39">
        <f aca="true" t="shared" si="17" ref="R38:R44">IF(I35&gt;0,((3.27*I35)-143),0)</f>
        <v>0</v>
      </c>
      <c r="S38" s="39">
        <f t="shared" si="10"/>
        <v>7</v>
      </c>
    </row>
    <row r="39" spans="10:19" ht="9.75">
      <c r="J39" s="31"/>
      <c r="K39" s="35"/>
      <c r="L39" s="39">
        <f t="shared" si="11"/>
        <v>56.156000000000006</v>
      </c>
      <c r="M39" s="39">
        <f t="shared" si="12"/>
        <v>-73.08999999999992</v>
      </c>
      <c r="N39" s="39">
        <f t="shared" si="13"/>
        <v>64.35000000000002</v>
      </c>
      <c r="O39" s="39">
        <f t="shared" si="14"/>
        <v>0</v>
      </c>
      <c r="P39" s="39">
        <f t="shared" si="15"/>
        <v>7.94</v>
      </c>
      <c r="Q39" s="39">
        <f t="shared" si="16"/>
        <v>59.47</v>
      </c>
      <c r="R39" s="39">
        <f t="shared" si="17"/>
        <v>0</v>
      </c>
      <c r="S39" s="39">
        <f t="shared" si="10"/>
        <v>7</v>
      </c>
    </row>
    <row r="40" spans="10:19" ht="9.75">
      <c r="J40" s="31"/>
      <c r="K40" s="35"/>
      <c r="L40" s="39">
        <f t="shared" si="11"/>
        <v>0</v>
      </c>
      <c r="M40" s="39">
        <f t="shared" si="12"/>
        <v>0</v>
      </c>
      <c r="N40" s="39">
        <f t="shared" si="13"/>
        <v>0</v>
      </c>
      <c r="O40" s="39">
        <f t="shared" si="14"/>
        <v>0</v>
      </c>
      <c r="P40" s="39">
        <f t="shared" si="15"/>
        <v>0</v>
      </c>
      <c r="Q40" s="39">
        <f t="shared" si="16"/>
        <v>0</v>
      </c>
      <c r="R40" s="39">
        <f t="shared" si="17"/>
        <v>0</v>
      </c>
      <c r="S40" s="39">
        <f t="shared" si="10"/>
        <v>7</v>
      </c>
    </row>
    <row r="41" spans="10:19" ht="9.75">
      <c r="J41" s="31"/>
      <c r="K41" s="35"/>
      <c r="L41" s="39">
        <f t="shared" si="11"/>
        <v>0</v>
      </c>
      <c r="M41" s="39">
        <f t="shared" si="12"/>
        <v>0</v>
      </c>
      <c r="N41" s="39">
        <f t="shared" si="13"/>
        <v>0</v>
      </c>
      <c r="O41" s="39">
        <f t="shared" si="14"/>
        <v>0</v>
      </c>
      <c r="P41" s="39">
        <f t="shared" si="15"/>
        <v>0</v>
      </c>
      <c r="Q41" s="39">
        <f t="shared" si="16"/>
        <v>0</v>
      </c>
      <c r="R41" s="39">
        <f t="shared" si="17"/>
        <v>0</v>
      </c>
      <c r="S41" s="39">
        <f t="shared" si="10"/>
        <v>7</v>
      </c>
    </row>
    <row r="42" spans="10:19" ht="9.75">
      <c r="J42" s="31"/>
      <c r="K42" s="35"/>
      <c r="L42" s="39">
        <f t="shared" si="11"/>
        <v>0</v>
      </c>
      <c r="M42" s="39">
        <f t="shared" si="12"/>
        <v>0</v>
      </c>
      <c r="N42" s="39">
        <f t="shared" si="13"/>
        <v>0</v>
      </c>
      <c r="O42" s="39">
        <f t="shared" si="14"/>
        <v>0</v>
      </c>
      <c r="P42" s="39">
        <f t="shared" si="15"/>
        <v>0</v>
      </c>
      <c r="Q42" s="39">
        <f t="shared" si="16"/>
        <v>0</v>
      </c>
      <c r="R42" s="39">
        <f t="shared" si="17"/>
        <v>0</v>
      </c>
      <c r="S42" s="39">
        <f t="shared" si="10"/>
        <v>7</v>
      </c>
    </row>
    <row r="43" spans="10:19" ht="9.75">
      <c r="J43" s="31"/>
      <c r="K43" s="35"/>
      <c r="L43" s="39">
        <f t="shared" si="11"/>
        <v>0</v>
      </c>
      <c r="M43" s="39">
        <f t="shared" si="12"/>
        <v>0</v>
      </c>
      <c r="N43" s="39">
        <f t="shared" si="13"/>
        <v>0</v>
      </c>
      <c r="O43" s="39">
        <f t="shared" si="14"/>
        <v>0</v>
      </c>
      <c r="P43" s="39">
        <f t="shared" si="15"/>
        <v>0</v>
      </c>
      <c r="Q43" s="39">
        <f t="shared" si="16"/>
        <v>0</v>
      </c>
      <c r="R43" s="39">
        <f t="shared" si="17"/>
        <v>0</v>
      </c>
      <c r="S43" s="39">
        <f t="shared" si="10"/>
        <v>7</v>
      </c>
    </row>
    <row r="44" spans="10:19" ht="9.75">
      <c r="J44" s="31"/>
      <c r="K44" s="35"/>
      <c r="L44" s="39">
        <f t="shared" si="11"/>
        <v>0</v>
      </c>
      <c r="M44" s="39">
        <f t="shared" si="12"/>
        <v>0</v>
      </c>
      <c r="N44" s="39">
        <f t="shared" si="13"/>
        <v>0</v>
      </c>
      <c r="O44" s="39">
        <f t="shared" si="14"/>
        <v>0</v>
      </c>
      <c r="P44" s="39">
        <f t="shared" si="15"/>
        <v>0</v>
      </c>
      <c r="Q44" s="39">
        <f t="shared" si="16"/>
        <v>0</v>
      </c>
      <c r="R44" s="39">
        <f t="shared" si="17"/>
        <v>0</v>
      </c>
      <c r="S44" s="39">
        <f t="shared" si="10"/>
        <v>7</v>
      </c>
    </row>
    <row r="45" spans="10:19" ht="9.75">
      <c r="J45" s="31"/>
      <c r="K45" s="35"/>
      <c r="S45" s="39">
        <f t="shared" si="10"/>
        <v>0</v>
      </c>
    </row>
    <row r="46" spans="10:19" ht="9.75">
      <c r="J46" s="31"/>
      <c r="K46" s="35"/>
      <c r="S46" s="39">
        <f t="shared" si="10"/>
        <v>0</v>
      </c>
    </row>
    <row r="47" spans="10:19" ht="9.75">
      <c r="J47" s="31"/>
      <c r="K47" s="35"/>
      <c r="S47" s="39">
        <f t="shared" si="10"/>
        <v>0</v>
      </c>
    </row>
    <row r="48" spans="10:19" ht="9.75">
      <c r="J48" s="31"/>
      <c r="K48" s="35"/>
      <c r="S48" s="39">
        <f t="shared" si="10"/>
        <v>0</v>
      </c>
    </row>
    <row r="49" spans="10:19" ht="9.75">
      <c r="J49" s="31"/>
      <c r="K49" s="35"/>
      <c r="S49" s="39">
        <f t="shared" si="10"/>
        <v>0</v>
      </c>
    </row>
    <row r="50" spans="10:19" ht="9.75">
      <c r="J50" s="31"/>
      <c r="K50" s="35"/>
      <c r="S50" s="39">
        <f t="shared" si="10"/>
        <v>0</v>
      </c>
    </row>
    <row r="51" spans="10:19" ht="9.75">
      <c r="J51" s="31"/>
      <c r="K51" s="35"/>
      <c r="S51" s="39">
        <f t="shared" si="10"/>
        <v>0</v>
      </c>
    </row>
    <row r="52" spans="10:19" ht="9.75">
      <c r="J52" s="31"/>
      <c r="K52" s="35"/>
      <c r="S52" s="39">
        <f t="shared" si="10"/>
        <v>0</v>
      </c>
    </row>
    <row r="56" spans="23:33" ht="9.75">
      <c r="W56" s="109"/>
      <c r="X56" s="109"/>
      <c r="Y56" s="109"/>
      <c r="Z56" s="110"/>
      <c r="AA56" s="110"/>
      <c r="AB56" s="111"/>
      <c r="AC56" s="111"/>
      <c r="AD56" s="111"/>
      <c r="AE56" s="111"/>
      <c r="AF56" s="43"/>
      <c r="AG56" s="43"/>
    </row>
    <row r="57" spans="23:33" ht="9.75">
      <c r="W57" s="109"/>
      <c r="X57" s="109"/>
      <c r="Y57" s="109"/>
      <c r="Z57" s="110"/>
      <c r="AA57" s="110"/>
      <c r="AB57" s="111"/>
      <c r="AC57" s="111"/>
      <c r="AD57" s="111"/>
      <c r="AE57" s="111"/>
      <c r="AF57" s="43"/>
      <c r="AG57" s="43"/>
    </row>
    <row r="58" spans="23:33" ht="9.75">
      <c r="W58" s="109"/>
      <c r="X58" s="109"/>
      <c r="Y58" s="109"/>
      <c r="Z58" s="110"/>
      <c r="AA58" s="110"/>
      <c r="AB58" s="111"/>
      <c r="AC58" s="111"/>
      <c r="AD58" s="111"/>
      <c r="AE58" s="111"/>
      <c r="AF58" s="43"/>
      <c r="AG58" s="43"/>
    </row>
    <row r="59" spans="23:33" ht="9.75">
      <c r="W59" s="109"/>
      <c r="X59" s="109"/>
      <c r="Y59" s="109"/>
      <c r="Z59" s="110"/>
      <c r="AA59" s="110"/>
      <c r="AB59" s="111"/>
      <c r="AC59" s="111"/>
      <c r="AD59" s="111"/>
      <c r="AE59" s="111"/>
      <c r="AF59" s="43"/>
      <c r="AG59" s="43"/>
    </row>
    <row r="60" spans="23:33" ht="9.75">
      <c r="W60" s="109"/>
      <c r="X60" s="109"/>
      <c r="Y60" s="109"/>
      <c r="Z60" s="110"/>
      <c r="AA60" s="110"/>
      <c r="AB60" s="111"/>
      <c r="AC60" s="111"/>
      <c r="AD60" s="111"/>
      <c r="AE60" s="111"/>
      <c r="AF60" s="43"/>
      <c r="AG60" s="43"/>
    </row>
    <row r="61" spans="23:33" ht="9.75">
      <c r="W61" s="109"/>
      <c r="X61" s="109"/>
      <c r="Y61" s="109"/>
      <c r="Z61" s="110"/>
      <c r="AA61" s="110"/>
      <c r="AB61" s="111"/>
      <c r="AC61" s="111"/>
      <c r="AD61" s="111"/>
      <c r="AE61" s="111"/>
      <c r="AF61" s="43"/>
      <c r="AG61" s="43"/>
    </row>
    <row r="62" spans="23:33" ht="9.75">
      <c r="W62" s="112"/>
      <c r="X62" s="113"/>
      <c r="Y62" s="114"/>
      <c r="Z62" s="115"/>
      <c r="AA62" s="115"/>
      <c r="AB62" s="115"/>
      <c r="AC62" s="115"/>
      <c r="AD62" s="115"/>
      <c r="AE62" s="115"/>
      <c r="AF62" s="43"/>
      <c r="AG62" s="43"/>
    </row>
    <row r="63" spans="23:33" ht="9.75">
      <c r="W63" s="116"/>
      <c r="X63" s="117"/>
      <c r="Y63" s="117"/>
      <c r="Z63" s="117"/>
      <c r="AA63" s="117"/>
      <c r="AB63" s="117"/>
      <c r="AC63" s="117"/>
      <c r="AD63" s="117"/>
      <c r="AE63" s="117"/>
      <c r="AF63" s="43"/>
      <c r="AG63" s="43"/>
    </row>
    <row r="64" spans="23:33" ht="9.75">
      <c r="W64" s="118"/>
      <c r="X64" s="109"/>
      <c r="Y64" s="109"/>
      <c r="Z64" s="117"/>
      <c r="AA64" s="117"/>
      <c r="AB64" s="119"/>
      <c r="AC64" s="119"/>
      <c r="AD64" s="119"/>
      <c r="AE64" s="119"/>
      <c r="AF64" s="43"/>
      <c r="AG64" s="43"/>
    </row>
    <row r="65" spans="23:33" ht="9.75">
      <c r="W65" s="109"/>
      <c r="X65" s="109"/>
      <c r="Y65" s="109"/>
      <c r="Z65" s="120"/>
      <c r="AA65" s="110"/>
      <c r="AB65" s="111"/>
      <c r="AC65" s="111"/>
      <c r="AD65" s="111"/>
      <c r="AE65" s="111"/>
      <c r="AF65" s="43"/>
      <c r="AG65" s="43"/>
    </row>
    <row r="66" spans="23:33" ht="9.75">
      <c r="W66" s="109"/>
      <c r="X66" s="109"/>
      <c r="Y66" s="109"/>
      <c r="Z66" s="120"/>
      <c r="AA66" s="110"/>
      <c r="AB66" s="111"/>
      <c r="AC66" s="111"/>
      <c r="AD66" s="111"/>
      <c r="AE66" s="111"/>
      <c r="AF66" s="43"/>
      <c r="AG66" s="43"/>
    </row>
    <row r="67" spans="23:33" ht="9.75">
      <c r="W67" s="112"/>
      <c r="X67" s="113"/>
      <c r="Y67" s="114"/>
      <c r="Z67" s="115"/>
      <c r="AA67" s="115"/>
      <c r="AB67" s="115"/>
      <c r="AC67" s="115"/>
      <c r="AD67" s="115"/>
      <c r="AE67" s="115"/>
      <c r="AF67" s="43"/>
      <c r="AG67" s="43"/>
    </row>
    <row r="68" spans="23:33" ht="9.75">
      <c r="W68" s="116"/>
      <c r="X68" s="117"/>
      <c r="Y68" s="117"/>
      <c r="Z68" s="117"/>
      <c r="AA68" s="117"/>
      <c r="AB68" s="117"/>
      <c r="AC68" s="117"/>
      <c r="AD68" s="117"/>
      <c r="AE68" s="117"/>
      <c r="AF68" s="43"/>
      <c r="AG68" s="43"/>
    </row>
    <row r="69" spans="23:33" ht="9.75">
      <c r="W69" s="118"/>
      <c r="X69" s="109"/>
      <c r="Y69" s="109"/>
      <c r="Z69" s="121"/>
      <c r="AA69" s="117"/>
      <c r="AB69" s="119"/>
      <c r="AC69" s="119"/>
      <c r="AD69" s="119"/>
      <c r="AE69" s="119"/>
      <c r="AF69" s="43"/>
      <c r="AG69" s="43"/>
    </row>
    <row r="70" spans="23:33" ht="9.75">
      <c r="W70" s="109"/>
      <c r="X70" s="109"/>
      <c r="Y70" s="109"/>
      <c r="Z70" s="110"/>
      <c r="AA70" s="110"/>
      <c r="AB70" s="111"/>
      <c r="AC70" s="111"/>
      <c r="AD70" s="111"/>
      <c r="AE70" s="111"/>
      <c r="AF70" s="43"/>
      <c r="AG70" s="43"/>
    </row>
    <row r="71" spans="23:33" ht="9.75">
      <c r="W71" s="109"/>
      <c r="X71" s="109"/>
      <c r="Y71" s="109"/>
      <c r="Z71" s="110"/>
      <c r="AA71" s="110"/>
      <c r="AB71" s="111"/>
      <c r="AC71" s="111"/>
      <c r="AD71" s="111"/>
      <c r="AE71" s="111"/>
      <c r="AF71" s="43"/>
      <c r="AG71" s="43"/>
    </row>
    <row r="72" spans="23:33" ht="9.75">
      <c r="W72" s="109"/>
      <c r="X72" s="109"/>
      <c r="Y72" s="109"/>
      <c r="Z72" s="110"/>
      <c r="AA72" s="110"/>
      <c r="AB72" s="111"/>
      <c r="AC72" s="111"/>
      <c r="AD72" s="111"/>
      <c r="AE72" s="111"/>
      <c r="AF72" s="43"/>
      <c r="AG72" s="43"/>
    </row>
    <row r="73" spans="23:33" ht="9.75">
      <c r="W73" s="112"/>
      <c r="X73" s="113"/>
      <c r="Y73" s="114"/>
      <c r="Z73" s="115"/>
      <c r="AA73" s="115"/>
      <c r="AB73" s="115"/>
      <c r="AC73" s="115"/>
      <c r="AD73" s="115"/>
      <c r="AE73" s="115"/>
      <c r="AF73" s="43"/>
      <c r="AG73" s="43"/>
    </row>
    <row r="74" spans="23:33" ht="9.75">
      <c r="W74" s="116"/>
      <c r="X74" s="117"/>
      <c r="Y74" s="117"/>
      <c r="Z74" s="117"/>
      <c r="AA74" s="117"/>
      <c r="AB74" s="117"/>
      <c r="AC74" s="117"/>
      <c r="AD74" s="117"/>
      <c r="AE74" s="117"/>
      <c r="AF74" s="43"/>
      <c r="AG74" s="43"/>
    </row>
    <row r="75" spans="23:33" ht="9.75">
      <c r="W75" s="118"/>
      <c r="X75" s="109"/>
      <c r="Y75" s="109"/>
      <c r="Z75" s="117"/>
      <c r="AA75" s="117"/>
      <c r="AB75" s="119"/>
      <c r="AC75" s="119"/>
      <c r="AD75" s="119"/>
      <c r="AE75" s="119"/>
      <c r="AF75" s="43"/>
      <c r="AG75" s="43"/>
    </row>
    <row r="76" spans="23:33" ht="9.75">
      <c r="W76" s="109"/>
      <c r="X76" s="109"/>
      <c r="Y76" s="109"/>
      <c r="Z76" s="120"/>
      <c r="AA76" s="110"/>
      <c r="AB76" s="111"/>
      <c r="AC76" s="111"/>
      <c r="AD76" s="111"/>
      <c r="AE76" s="111"/>
      <c r="AF76" s="43"/>
      <c r="AG76" s="43"/>
    </row>
    <row r="77" spans="23:33" ht="9.75"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</row>
    <row r="78" spans="23:33" ht="9.75"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</row>
    <row r="79" spans="23:33" ht="9.75"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</row>
  </sheetData>
  <sheetProtection/>
  <mergeCells count="9">
    <mergeCell ref="X62:Y62"/>
    <mergeCell ref="X67:Y67"/>
    <mergeCell ref="X73:Y73"/>
    <mergeCell ref="B2:C2"/>
    <mergeCell ref="B8:C8"/>
    <mergeCell ref="B13:C13"/>
    <mergeCell ref="B22:C22"/>
    <mergeCell ref="B33:C33"/>
    <mergeCell ref="B27:C27"/>
  </mergeCells>
  <printOptions/>
  <pageMargins left="1.19" right="0.75" top="1.39" bottom="1" header="0.5" footer="0.5"/>
  <pageSetup horizontalDpi="600" verticalDpi="600" orientation="portrait" paperSize="9" r:id="rId1"/>
  <ignoredErrors>
    <ignoredError sqref="K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25" sqref="G25"/>
    </sheetView>
  </sheetViews>
  <sheetFormatPr defaultColWidth="11.57421875" defaultRowHeight="12.75"/>
  <cols>
    <col min="1" max="1" width="14.421875" style="10" customWidth="1"/>
    <col min="2" max="2" width="12.421875" style="22" customWidth="1"/>
    <col min="3" max="3" width="11.7109375" style="4" customWidth="1"/>
    <col min="4" max="4" width="16.421875" style="22" customWidth="1"/>
    <col min="5" max="5" width="14.421875" style="14" customWidth="1"/>
  </cols>
  <sheetData>
    <row r="1" ht="12.75">
      <c r="A1" s="9" t="s">
        <v>2</v>
      </c>
    </row>
    <row r="2" spans="1:5" s="1" customFormat="1" ht="12.75">
      <c r="A2" s="9" t="s">
        <v>21</v>
      </c>
      <c r="B2" s="21" t="s">
        <v>1</v>
      </c>
      <c r="C2" s="5" t="s">
        <v>0</v>
      </c>
      <c r="D2" s="21" t="s">
        <v>24</v>
      </c>
      <c r="E2" s="13"/>
    </row>
    <row r="3" spans="1:4" ht="12.75">
      <c r="A3" s="17" t="s">
        <v>22</v>
      </c>
      <c r="B3" s="22">
        <v>705</v>
      </c>
      <c r="C3" s="27">
        <f>(-0.48*B3)+417.6</f>
        <v>79.20000000000005</v>
      </c>
      <c r="D3" s="22" t="s">
        <v>28</v>
      </c>
    </row>
    <row r="4" spans="1:4" ht="12.75">
      <c r="A4" s="17" t="s">
        <v>23</v>
      </c>
      <c r="B4" s="22">
        <v>630</v>
      </c>
      <c r="C4" s="27">
        <f>(-0.436*B4)+417.6</f>
        <v>142.92000000000002</v>
      </c>
      <c r="D4" s="22" t="s">
        <v>29</v>
      </c>
    </row>
    <row r="5" ht="12.75">
      <c r="C5" s="27"/>
    </row>
    <row r="6" ht="12.75">
      <c r="A6" s="9" t="s">
        <v>8</v>
      </c>
    </row>
    <row r="7" spans="1:5" s="1" customFormat="1" ht="12.75">
      <c r="A7" s="9" t="s">
        <v>21</v>
      </c>
      <c r="B7" s="21" t="s">
        <v>1</v>
      </c>
      <c r="C7" s="5" t="s">
        <v>0</v>
      </c>
      <c r="D7" s="21" t="s">
        <v>24</v>
      </c>
      <c r="E7" s="13"/>
    </row>
    <row r="8" spans="1:4" ht="12.75">
      <c r="A8" s="17" t="s">
        <v>22</v>
      </c>
      <c r="B8" s="4">
        <v>19.86</v>
      </c>
      <c r="C8" s="27">
        <f>(-51.19*B8)+1106</f>
        <v>89.36660000000006</v>
      </c>
      <c r="D8" s="36" t="s">
        <v>35</v>
      </c>
    </row>
    <row r="9" spans="1:7" ht="12.75">
      <c r="A9" s="17" t="s">
        <v>23</v>
      </c>
      <c r="B9" s="4">
        <v>19.54</v>
      </c>
      <c r="C9" s="27">
        <f>(-49.5*B9)+1106</f>
        <v>138.7700000000001</v>
      </c>
      <c r="D9" s="36" t="s">
        <v>36</v>
      </c>
      <c r="G9" s="19"/>
    </row>
    <row r="10" ht="12.75">
      <c r="C10" s="27"/>
    </row>
    <row r="11" ht="12.75">
      <c r="A11" s="9" t="s">
        <v>3</v>
      </c>
    </row>
    <row r="12" spans="1:5" s="1" customFormat="1" ht="12.75">
      <c r="A12" s="9" t="s">
        <v>21</v>
      </c>
      <c r="B12" s="21" t="s">
        <v>1</v>
      </c>
      <c r="C12" s="5" t="s">
        <v>0</v>
      </c>
      <c r="D12" s="21" t="s">
        <v>24</v>
      </c>
      <c r="E12" s="13"/>
    </row>
    <row r="13" spans="1:4" ht="12.75">
      <c r="A13" s="17" t="s">
        <v>22</v>
      </c>
      <c r="B13" s="22">
        <v>6</v>
      </c>
      <c r="C13" s="27">
        <f>(4*B13)-20</f>
        <v>4</v>
      </c>
      <c r="D13" s="22" t="s">
        <v>25</v>
      </c>
    </row>
    <row r="14" spans="1:4" ht="12.75">
      <c r="A14" s="17" t="s">
        <v>23</v>
      </c>
      <c r="B14" s="22">
        <v>5</v>
      </c>
      <c r="C14" s="27">
        <f>(4*B14)-20</f>
        <v>0</v>
      </c>
      <c r="D14" s="22" t="s">
        <v>25</v>
      </c>
    </row>
    <row r="15" ht="12.75">
      <c r="C15" s="27"/>
    </row>
    <row r="16" spans="1:5" s="19" customFormat="1" ht="12.75">
      <c r="A16" s="9" t="s">
        <v>4</v>
      </c>
      <c r="B16" s="23"/>
      <c r="C16" s="18"/>
      <c r="D16" s="36"/>
      <c r="E16" s="20"/>
    </row>
    <row r="17" spans="1:5" s="1" customFormat="1" ht="12.75">
      <c r="A17" s="9" t="s">
        <v>21</v>
      </c>
      <c r="B17" s="21" t="s">
        <v>1</v>
      </c>
      <c r="C17" s="5" t="s">
        <v>0</v>
      </c>
      <c r="D17" s="21" t="s">
        <v>24</v>
      </c>
      <c r="E17" s="13"/>
    </row>
    <row r="18" spans="1:4" ht="12.75">
      <c r="A18" s="17" t="s">
        <v>22</v>
      </c>
      <c r="B18" s="22">
        <v>10</v>
      </c>
      <c r="C18" s="27">
        <f>(5.88*B18)-5.88</f>
        <v>52.919999999999995</v>
      </c>
      <c r="D18" s="22" t="s">
        <v>26</v>
      </c>
    </row>
    <row r="19" spans="1:4" ht="12.75">
      <c r="A19" s="17" t="s">
        <v>23</v>
      </c>
      <c r="B19" s="22">
        <v>1</v>
      </c>
      <c r="C19" s="27">
        <f>7.94*B19</f>
        <v>7.94</v>
      </c>
      <c r="D19" s="22" t="s">
        <v>30</v>
      </c>
    </row>
    <row r="20" ht="12.75">
      <c r="C20" s="27"/>
    </row>
    <row r="21" ht="12.75">
      <c r="A21" s="9" t="s">
        <v>5</v>
      </c>
    </row>
    <row r="22" spans="1:5" s="1" customFormat="1" ht="12.75">
      <c r="A22" s="9" t="s">
        <v>21</v>
      </c>
      <c r="B22" s="21" t="s">
        <v>1</v>
      </c>
      <c r="C22" s="5" t="s">
        <v>0</v>
      </c>
      <c r="D22" s="21" t="s">
        <v>24</v>
      </c>
      <c r="E22" s="13"/>
    </row>
    <row r="23" spans="1:4" ht="12.75">
      <c r="A23" s="17" t="s">
        <v>22</v>
      </c>
      <c r="B23" s="22">
        <v>79</v>
      </c>
      <c r="C23" s="27">
        <f>(2.9*B23)-143</f>
        <v>86.1</v>
      </c>
      <c r="D23" s="27" t="s">
        <v>27</v>
      </c>
    </row>
    <row r="24" spans="1:4" ht="12.75">
      <c r="A24" s="17" t="s">
        <v>23</v>
      </c>
      <c r="B24" s="22">
        <v>44</v>
      </c>
      <c r="C24" s="27">
        <f>(3.27*B24)-143</f>
        <v>0.8799999999999955</v>
      </c>
      <c r="D24" s="27" t="s">
        <v>31</v>
      </c>
    </row>
    <row r="25" spans="3:4" ht="12.75">
      <c r="C25" s="27"/>
      <c r="D25" s="27"/>
    </row>
    <row r="26" spans="1:5" s="3" customFormat="1" ht="12.75">
      <c r="A26" s="12" t="s">
        <v>6</v>
      </c>
      <c r="B26" s="25"/>
      <c r="C26" s="6"/>
      <c r="D26" s="24"/>
      <c r="E26" s="15"/>
    </row>
    <row r="27" spans="1:5" s="1" customFormat="1" ht="12.75">
      <c r="A27" s="9" t="s">
        <v>21</v>
      </c>
      <c r="B27" s="21" t="s">
        <v>1</v>
      </c>
      <c r="C27" s="5" t="s">
        <v>0</v>
      </c>
      <c r="D27" s="21" t="s">
        <v>24</v>
      </c>
      <c r="E27" s="13"/>
    </row>
    <row r="28" spans="1:4" ht="12.75">
      <c r="A28" s="17" t="s">
        <v>22</v>
      </c>
      <c r="B28" s="22">
        <v>40</v>
      </c>
      <c r="C28" s="27">
        <f>(2.55*B28)-7.7</f>
        <v>94.3</v>
      </c>
      <c r="D28" s="27" t="s">
        <v>44</v>
      </c>
    </row>
    <row r="29" spans="1:4" ht="12.75">
      <c r="A29" s="17" t="s">
        <v>23</v>
      </c>
      <c r="B29" s="22">
        <v>1</v>
      </c>
      <c r="C29" s="27">
        <f>3.13*B29</f>
        <v>3.13</v>
      </c>
      <c r="D29" s="27" t="s">
        <v>32</v>
      </c>
    </row>
    <row r="30" spans="1:5" s="3" customFormat="1" ht="12.75">
      <c r="A30" s="11"/>
      <c r="B30" s="24"/>
      <c r="C30" s="7"/>
      <c r="D30" s="37"/>
      <c r="E30" s="15"/>
    </row>
    <row r="31" spans="1:5" s="3" customFormat="1" ht="12.75">
      <c r="A31" s="12" t="s">
        <v>7</v>
      </c>
      <c r="B31" s="24"/>
      <c r="C31" s="7"/>
      <c r="D31" s="24"/>
      <c r="E31" s="15"/>
    </row>
    <row r="32" spans="1:5" s="1" customFormat="1" ht="12.75">
      <c r="A32" s="9" t="s">
        <v>21</v>
      </c>
      <c r="B32" s="21" t="s">
        <v>1</v>
      </c>
      <c r="C32" s="5" t="s">
        <v>0</v>
      </c>
      <c r="D32" s="21" t="s">
        <v>24</v>
      </c>
      <c r="E32" s="13"/>
    </row>
    <row r="33" spans="1:6" ht="12.75">
      <c r="A33" s="17" t="s">
        <v>22</v>
      </c>
      <c r="B33" s="22">
        <v>151</v>
      </c>
      <c r="C33" s="27">
        <f>(0.95*B33)-142.5</f>
        <v>0.9499999999999886</v>
      </c>
      <c r="D33" s="27" t="s">
        <v>34</v>
      </c>
      <c r="F33" s="27"/>
    </row>
    <row r="34" spans="1:4" ht="12.75">
      <c r="A34" s="17" t="s">
        <v>23</v>
      </c>
      <c r="B34" s="22">
        <v>136</v>
      </c>
      <c r="C34" s="27">
        <f>(1.05*B34)-142.5</f>
        <v>0.30000000000001137</v>
      </c>
      <c r="D34" s="27" t="s">
        <v>33</v>
      </c>
    </row>
    <row r="35" spans="1:5" s="3" customFormat="1" ht="6" customHeight="1">
      <c r="A35" s="11"/>
      <c r="B35" s="24"/>
      <c r="C35" s="7"/>
      <c r="D35" s="24"/>
      <c r="E35" s="15"/>
    </row>
    <row r="36" spans="1:5" s="2" customFormat="1" ht="12.75">
      <c r="A36" s="12"/>
      <c r="B36" s="25"/>
      <c r="C36" s="27"/>
      <c r="D36" s="25"/>
      <c r="E36" s="16"/>
    </row>
    <row r="37" spans="1:5" s="2" customFormat="1" ht="12.75">
      <c r="A37" s="12"/>
      <c r="B37" s="25"/>
      <c r="C37" s="6"/>
      <c r="D37" s="25"/>
      <c r="E37" s="16"/>
    </row>
    <row r="38" spans="1:5" s="2" customFormat="1" ht="12.75">
      <c r="A38" s="12"/>
      <c r="B38" s="25"/>
      <c r="C38" s="6"/>
      <c r="D38" s="25"/>
      <c r="E38" s="16"/>
    </row>
    <row r="39" spans="1:5" s="2" customFormat="1" ht="12.75">
      <c r="A39" s="12"/>
      <c r="B39" s="25"/>
      <c r="C39" s="6"/>
      <c r="D39" s="25"/>
      <c r="E39" s="16"/>
    </row>
    <row r="40" spans="1:5" s="3" customFormat="1" ht="12.75">
      <c r="A40" s="11"/>
      <c r="B40" s="26"/>
      <c r="C40" s="8"/>
      <c r="D40" s="26"/>
      <c r="E40" s="15"/>
    </row>
    <row r="41" spans="1:5" s="3" customFormat="1" ht="12.75">
      <c r="A41" s="11"/>
      <c r="B41" s="26"/>
      <c r="C41" s="8"/>
      <c r="D41" s="26"/>
      <c r="E41" s="15"/>
    </row>
    <row r="42" spans="1:5" s="3" customFormat="1" ht="12.75">
      <c r="A42" s="11"/>
      <c r="B42" s="26"/>
      <c r="C42" s="8"/>
      <c r="D42" s="26"/>
      <c r="E42" s="15"/>
    </row>
    <row r="43" spans="1:5" s="3" customFormat="1" ht="12.75">
      <c r="A43" s="11"/>
      <c r="B43" s="26"/>
      <c r="C43" s="8"/>
      <c r="D43" s="26"/>
      <c r="E43" s="1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Intility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Hølje Tefre</dc:creator>
  <cp:keywords/>
  <dc:description/>
  <cp:lastModifiedBy>Andreas Lundgård</cp:lastModifiedBy>
  <cp:lastPrinted>2010-11-30T13:53:58Z</cp:lastPrinted>
  <dcterms:created xsi:type="dcterms:W3CDTF">2009-02-05T11:31:56Z</dcterms:created>
  <dcterms:modified xsi:type="dcterms:W3CDTF">2018-06-18T16:34:16Z</dcterms:modified>
  <cp:category/>
  <cp:version/>
  <cp:contentType/>
  <cp:contentStatus/>
</cp:coreProperties>
</file>